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externalLinks/externalLink1.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drawings/drawing3.xml" ContentType="application/vnd.openxmlformats-officedocument.drawing+xml"/>
  <Override PartName="/xl/comments2.xml" ContentType="application/vnd.openxmlformats-officedocument.spreadsheetml.comments+xml"/>
  <Override PartName="/xl/threadedComments/threadedComment2.xml" ContentType="application/vnd.ms-excel.threadedcomments+xml"/>
  <Override PartName="/xl/drawings/drawing4.xml" ContentType="application/vnd.openxmlformats-officedocument.drawing+xml"/>
  <Override PartName="/xl/drawings/drawing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429"/>
  <workbookPr defaultThemeVersion="124226"/>
  <mc:AlternateContent xmlns:mc="http://schemas.openxmlformats.org/markup-compatibility/2006">
    <mc:Choice Requires="x15">
      <x15ac:absPath xmlns:x15ac="http://schemas.microsoft.com/office/spreadsheetml/2010/11/ac" url="https://d.docs.live.net/951bde4d8205714a/◆駒寄◆/★会計★/④祭礼会計/2024-令和６年度/"/>
    </mc:Choice>
  </mc:AlternateContent>
  <xr:revisionPtr revIDLastSave="4799" documentId="8_{00B956E8-19D9-3E47-BA42-151BC3B72D18}" xr6:coauthVersionLast="47" xr6:coauthVersionMax="47" xr10:uidLastSave="{CD4EFBD1-12C6-4A17-8E01-0A7D326FCED7}"/>
  <bookViews>
    <workbookView xWindow="-120" yWindow="-120" windowWidth="29040" windowHeight="15720" tabRatio="892" activeTab="2" xr2:uid="{00000000-000D-0000-FFFF-FFFF00000000}"/>
  </bookViews>
  <sheets>
    <sheet name="コードについて" sheetId="4" r:id="rId1"/>
    <sheet name="祭礼会計コード" sheetId="15" r:id="rId2"/>
    <sheet name="★日付順2025.2.11" sheetId="10" r:id="rId3"/>
    <sheet name="（R6BBZ）" sheetId="13" r:id="rId4"/>
    <sheet name="R6ばばーず精算" sheetId="14" r:id="rId5"/>
    <sheet name="R6少年部" sheetId="12" r:id="rId6"/>
    <sheet name="R６祭礼会計　中間報告" sheetId="11" r:id="rId7"/>
    <sheet name="R5祭礼会計　中間報告" sheetId="7" r:id="rId8"/>
    <sheet name="令和５年度日付順" sheetId="5" r:id="rId9"/>
    <sheet name="R5通帳記帳3.29" sheetId="9" r:id="rId10"/>
    <sheet name="R5年度祭礼実績（集計中）" sheetId="6" r:id="rId11"/>
    <sheet name="祭礼会計出納簿" sheetId="1" r:id="rId12"/>
    <sheet name="【R1】祭礼会計出納簿コード順" sheetId="8" r:id="rId13"/>
    <sheet name="（省略）祭礼会計出納簿コード順" sheetId="2" r:id="rId14"/>
  </sheets>
  <externalReferences>
    <externalReference r:id="rId15"/>
  </externalReferences>
  <definedNames>
    <definedName name="_xlnm._FilterDatabase" localSheetId="2" hidden="1">'★日付順2025.2.11'!$L$1:$L$123</definedName>
    <definedName name="_xlnm._FilterDatabase" localSheetId="8" hidden="1">令和５年度日付順!$F$1:$F$128</definedName>
    <definedName name="_xlnm.Print_Area" localSheetId="3">'（R6BBZ）'!$A$1:$U$71</definedName>
    <definedName name="_xlnm.Print_Area" localSheetId="2">'★日付順2025.2.11'!$A$1:$V$121</definedName>
    <definedName name="_xlnm.Print_Area" localSheetId="7">'R5祭礼会計　中間報告'!$A$1:$I$44</definedName>
    <definedName name="_xlnm.Print_Area" localSheetId="4">'R6ばばーず精算'!$A$1:$U$60</definedName>
    <definedName name="_xlnm.Print_Area" localSheetId="6">'R６祭礼会計　中間報告'!$A$1:$H$41</definedName>
    <definedName name="_xlnm.Print_Area" localSheetId="11">祭礼会計出納簿!$A$1:$J$133</definedName>
    <definedName name="_xlnm.Print_Area" localSheetId="8">令和５年度日付順!$A$1:$T$127</definedName>
    <definedName name="_xlnm.Print_Titles" localSheetId="13">'（省略）祭礼会計出納簿コード順'!$1:$3</definedName>
    <definedName name="_xlnm.Print_Titles" localSheetId="12">【R1】祭礼会計出納簿コード順!$1:$3</definedName>
    <definedName name="_xlnm.Print_Titles" localSheetId="2">'★日付順2025.2.11'!$1:$2</definedName>
    <definedName name="_xlnm.Print_Titles" localSheetId="11">祭礼会計出納簿!$1:$3</definedName>
    <definedName name="_xlnm.Print_Titles" localSheetId="8">令和５年度日付順!$1:$2</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calcFeatures>
    </ext>
  </extLst>
</workbook>
</file>

<file path=xl/calcChain.xml><?xml version="1.0" encoding="utf-8"?>
<calcChain xmlns="http://schemas.openxmlformats.org/spreadsheetml/2006/main">
  <c r="H76" i="10" l="1"/>
  <c r="A76" i="10"/>
  <c r="A77" i="10" l="1"/>
  <c r="H73" i="10" l="1"/>
  <c r="A73" i="10"/>
  <c r="H75" i="10"/>
  <c r="A75" i="10"/>
  <c r="H74" i="10"/>
  <c r="A74" i="10"/>
  <c r="H60" i="10"/>
  <c r="A60" i="10"/>
  <c r="H52" i="10"/>
  <c r="A52" i="10"/>
  <c r="H51" i="10"/>
  <c r="A51" i="10"/>
  <c r="H36" i="10"/>
  <c r="A36" i="10"/>
  <c r="H29" i="10"/>
  <c r="H28" i="10"/>
  <c r="H27" i="10"/>
  <c r="H24" i="10"/>
  <c r="H23" i="10"/>
  <c r="H22" i="10"/>
  <c r="H21" i="10"/>
  <c r="H20" i="10"/>
  <c r="H19" i="10"/>
  <c r="H18" i="10"/>
  <c r="H17" i="10"/>
  <c r="H16" i="10"/>
  <c r="H12" i="10"/>
  <c r="H11" i="10"/>
  <c r="H10" i="10"/>
  <c r="H9" i="10"/>
  <c r="H8" i="10"/>
  <c r="H4" i="10"/>
  <c r="H5" i="10"/>
  <c r="H7" i="10"/>
  <c r="A9" i="10"/>
  <c r="A79" i="10"/>
  <c r="A78" i="10"/>
  <c r="A53" i="10"/>
  <c r="A54" i="10"/>
  <c r="A50" i="10"/>
  <c r="A69" i="10" l="1"/>
  <c r="A68" i="10"/>
  <c r="A65" i="10" l="1"/>
  <c r="A64" i="10"/>
  <c r="A62" i="10"/>
  <c r="A63" i="10"/>
  <c r="A61" i="10"/>
  <c r="J59" i="14"/>
  <c r="K54" i="14"/>
  <c r="K53" i="14"/>
  <c r="K52" i="14"/>
  <c r="K49" i="14"/>
  <c r="K44" i="14"/>
  <c r="K37" i="14"/>
  <c r="K36" i="14"/>
  <c r="K35" i="14"/>
  <c r="K28" i="14"/>
  <c r="K24" i="14"/>
  <c r="K23" i="14"/>
  <c r="K21" i="14"/>
  <c r="K19" i="14"/>
  <c r="K14" i="14"/>
  <c r="K4" i="14"/>
  <c r="K41" i="14"/>
  <c r="K30" i="14"/>
  <c r="K29" i="14"/>
  <c r="K20" i="14"/>
  <c r="K12" i="14"/>
  <c r="K10" i="14"/>
  <c r="K5" i="14"/>
  <c r="J56" i="14"/>
  <c r="K56" i="14" s="1"/>
  <c r="A54" i="14"/>
  <c r="A53" i="14"/>
  <c r="A52" i="14"/>
  <c r="A51" i="14"/>
  <c r="A50" i="14"/>
  <c r="A49" i="14"/>
  <c r="A48" i="14"/>
  <c r="A47" i="14"/>
  <c r="A46" i="14"/>
  <c r="A45" i="14"/>
  <c r="A44" i="14"/>
  <c r="A43" i="14"/>
  <c r="A42" i="14"/>
  <c r="A41" i="14"/>
  <c r="A40" i="14"/>
  <c r="A39" i="14"/>
  <c r="A38" i="14"/>
  <c r="A37" i="14"/>
  <c r="A36" i="14"/>
  <c r="A35" i="14"/>
  <c r="A34" i="14"/>
  <c r="A33" i="14"/>
  <c r="A32" i="14"/>
  <c r="A31" i="14"/>
  <c r="A30" i="14"/>
  <c r="A29" i="14"/>
  <c r="A28" i="14"/>
  <c r="A27" i="14"/>
  <c r="A26" i="14"/>
  <c r="A25" i="14"/>
  <c r="A24" i="14"/>
  <c r="A23" i="14"/>
  <c r="A22" i="14"/>
  <c r="U21" i="14"/>
  <c r="A21" i="14"/>
  <c r="A20" i="14"/>
  <c r="M19" i="14"/>
  <c r="A19" i="14"/>
  <c r="M18" i="14"/>
  <c r="A18" i="14"/>
  <c r="M17" i="14"/>
  <c r="A17" i="14"/>
  <c r="M16" i="14"/>
  <c r="A16" i="14"/>
  <c r="M15" i="14"/>
  <c r="A15" i="14"/>
  <c r="M14" i="14"/>
  <c r="A14" i="14"/>
  <c r="M13" i="14"/>
  <c r="A13" i="14"/>
  <c r="M12" i="14"/>
  <c r="A12" i="14"/>
  <c r="M11" i="14"/>
  <c r="A11" i="14"/>
  <c r="M10" i="14"/>
  <c r="A10" i="14"/>
  <c r="M9" i="14"/>
  <c r="A9" i="14"/>
  <c r="M8" i="14"/>
  <c r="A8" i="14"/>
  <c r="M7" i="14"/>
  <c r="A7" i="14"/>
  <c r="M6" i="14"/>
  <c r="A6" i="14"/>
  <c r="M5" i="14"/>
  <c r="A5" i="14"/>
  <c r="M4" i="14"/>
  <c r="A4" i="14"/>
  <c r="U21" i="13"/>
  <c r="M19" i="13"/>
  <c r="M18" i="13"/>
  <c r="M17" i="13"/>
  <c r="M16" i="13"/>
  <c r="M15" i="13"/>
  <c r="M14" i="13"/>
  <c r="M13" i="13"/>
  <c r="M12" i="13"/>
  <c r="M11" i="13"/>
  <c r="M10" i="13"/>
  <c r="M9" i="13"/>
  <c r="M8" i="13"/>
  <c r="M7" i="13"/>
  <c r="M6" i="13"/>
  <c r="M5" i="13"/>
  <c r="M4" i="13"/>
  <c r="J56" i="13"/>
  <c r="K56" i="13" s="1"/>
  <c r="A54" i="13"/>
  <c r="A53" i="13"/>
  <c r="A52" i="13"/>
  <c r="A51" i="13"/>
  <c r="A50" i="13"/>
  <c r="A49" i="13"/>
  <c r="A48" i="13"/>
  <c r="A47" i="13"/>
  <c r="A46" i="13"/>
  <c r="A45" i="13"/>
  <c r="A44" i="13"/>
  <c r="A43" i="13"/>
  <c r="A42" i="13"/>
  <c r="A41" i="13"/>
  <c r="A40" i="13"/>
  <c r="A39" i="13"/>
  <c r="A38" i="13"/>
  <c r="A37" i="13"/>
  <c r="A36" i="13"/>
  <c r="A28" i="13"/>
  <c r="A35" i="13"/>
  <c r="A34" i="13"/>
  <c r="A33" i="13"/>
  <c r="A32" i="13"/>
  <c r="A30" i="13"/>
  <c r="A31" i="13"/>
  <c r="A29" i="13"/>
  <c r="A27" i="13"/>
  <c r="A26" i="13"/>
  <c r="A25" i="13"/>
  <c r="A19" i="13"/>
  <c r="A18" i="13"/>
  <c r="A24" i="13"/>
  <c r="A23" i="13"/>
  <c r="A22" i="13"/>
  <c r="A21" i="13"/>
  <c r="A20" i="13"/>
  <c r="A17" i="13"/>
  <c r="A16" i="13"/>
  <c r="A15" i="13"/>
  <c r="A14" i="13"/>
  <c r="A13" i="13"/>
  <c r="A12" i="13"/>
  <c r="A11" i="13"/>
  <c r="A10" i="13"/>
  <c r="A9" i="13"/>
  <c r="A8" i="13"/>
  <c r="A7" i="13"/>
  <c r="A6" i="13"/>
  <c r="A5" i="13"/>
  <c r="A4" i="13"/>
  <c r="K59" i="14" l="1"/>
  <c r="A27" i="10"/>
  <c r="A17" i="10"/>
  <c r="A67" i="10" l="1"/>
  <c r="A66" i="10"/>
  <c r="A49" i="10"/>
  <c r="A59" i="10"/>
  <c r="A36" i="11"/>
  <c r="A35" i="11"/>
  <c r="A34" i="11"/>
  <c r="A33" i="11"/>
  <c r="A32" i="11"/>
  <c r="A31" i="11"/>
  <c r="A30" i="11"/>
  <c r="A29" i="11"/>
  <c r="A28" i="11"/>
  <c r="A27" i="11"/>
  <c r="A26" i="11"/>
  <c r="A25" i="11"/>
  <c r="A24" i="11"/>
  <c r="A23" i="11"/>
  <c r="A22" i="11"/>
  <c r="A21" i="11"/>
  <c r="A18" i="11"/>
  <c r="A10" i="11"/>
  <c r="A9" i="11"/>
  <c r="A8" i="11"/>
  <c r="A7" i="11"/>
  <c r="A6" i="11"/>
  <c r="A5" i="11"/>
  <c r="A4" i="11"/>
  <c r="A3" i="11"/>
  <c r="K84" i="10"/>
  <c r="J84" i="10"/>
  <c r="A82" i="10"/>
  <c r="A70" i="10"/>
  <c r="A58" i="10"/>
  <c r="A57" i="10"/>
  <c r="A55" i="10"/>
  <c r="A48" i="10"/>
  <c r="A47" i="10"/>
  <c r="A38" i="10"/>
  <c r="A30" i="10"/>
  <c r="A28" i="10"/>
  <c r="A22" i="10"/>
  <c r="A10" i="10"/>
  <c r="A21" i="10"/>
  <c r="A20" i="10"/>
  <c r="A18" i="10"/>
  <c r="A12" i="10"/>
  <c r="A7" i="10"/>
  <c r="H105" i="10" l="1"/>
  <c r="D20" i="11" s="1"/>
  <c r="H104" i="10"/>
  <c r="E33" i="11"/>
  <c r="E20" i="11"/>
  <c r="E19" i="11"/>
  <c r="E18" i="11" s="1"/>
  <c r="H103" i="10" l="1"/>
  <c r="D18" i="11" l="1"/>
  <c r="A56" i="10"/>
  <c r="T4" i="10"/>
  <c r="T5" i="10" s="1"/>
  <c r="T6" i="10" s="1"/>
  <c r="A26" i="10"/>
  <c r="A25" i="10"/>
  <c r="A16" i="10"/>
  <c r="A15" i="10"/>
  <c r="A14" i="10"/>
  <c r="A13" i="10"/>
  <c r="A46" i="10"/>
  <c r="A45" i="10"/>
  <c r="A44" i="10"/>
  <c r="A42" i="10"/>
  <c r="A41" i="10"/>
  <c r="A33" i="10"/>
  <c r="A32" i="10"/>
  <c r="A31" i="10"/>
  <c r="A24" i="10"/>
  <c r="A29" i="10"/>
  <c r="P89" i="10"/>
  <c r="P4" i="10"/>
  <c r="P5" i="10" s="1"/>
  <c r="P6" i="10" s="1"/>
  <c r="A34" i="10"/>
  <c r="A37" i="10"/>
  <c r="A35" i="10"/>
  <c r="A23" i="10"/>
  <c r="P7" i="10" l="1"/>
  <c r="P8" i="10" s="1"/>
  <c r="P9" i="10" s="1"/>
  <c r="T7" i="10"/>
  <c r="T8" i="10" s="1"/>
  <c r="T9" i="10" s="1"/>
  <c r="F18" i="11"/>
  <c r="G18" i="11"/>
  <c r="A40" i="10" l="1"/>
  <c r="A39" i="10"/>
  <c r="A19" i="10"/>
  <c r="A11" i="10"/>
  <c r="A8" i="10"/>
  <c r="A6" i="10"/>
  <c r="H118" i="10" l="1"/>
  <c r="H117" i="10"/>
  <c r="H116" i="10"/>
  <c r="D31" i="11" s="1"/>
  <c r="H115" i="10"/>
  <c r="D30" i="11" s="1"/>
  <c r="H114" i="10"/>
  <c r="D29" i="11" s="1"/>
  <c r="H113" i="10"/>
  <c r="H112" i="10"/>
  <c r="H111" i="10"/>
  <c r="D26" i="11" s="1"/>
  <c r="H110" i="10"/>
  <c r="D25" i="11" s="1"/>
  <c r="H109" i="10"/>
  <c r="H108" i="10"/>
  <c r="D23" i="11" s="1"/>
  <c r="H107" i="10"/>
  <c r="H106" i="10"/>
  <c r="I105" i="10"/>
  <c r="I104" i="10"/>
  <c r="H98" i="10"/>
  <c r="D8" i="11" s="1"/>
  <c r="H97" i="10"/>
  <c r="D7" i="11" s="1"/>
  <c r="H96" i="10"/>
  <c r="D6" i="11" s="1"/>
  <c r="H94" i="10"/>
  <c r="D4" i="11" s="1"/>
  <c r="H93" i="10"/>
  <c r="D3" i="11" s="1"/>
  <c r="T89" i="10"/>
  <c r="S89" i="10"/>
  <c r="R89" i="10"/>
  <c r="Q89" i="10"/>
  <c r="D86" i="10"/>
  <c r="A83" i="10"/>
  <c r="A81" i="10"/>
  <c r="A80" i="10"/>
  <c r="H95" i="10"/>
  <c r="D5" i="11" s="1"/>
  <c r="A5" i="10"/>
  <c r="S4" i="10"/>
  <c r="S5" i="10" s="1"/>
  <c r="S6" i="10" s="1"/>
  <c r="R4" i="10"/>
  <c r="R5" i="10" s="1"/>
  <c r="R6" i="10" s="1"/>
  <c r="Q4" i="10"/>
  <c r="Q5" i="10" s="1"/>
  <c r="Q6" i="10" s="1"/>
  <c r="O4" i="10"/>
  <c r="O5" i="10" s="1"/>
  <c r="O6" i="10" s="1"/>
  <c r="N4" i="10"/>
  <c r="N5" i="10" s="1"/>
  <c r="N6" i="10" s="1"/>
  <c r="M4" i="10"/>
  <c r="M5" i="10" s="1"/>
  <c r="M6" i="10" s="1"/>
  <c r="A4" i="10"/>
  <c r="A76" i="5"/>
  <c r="U6" i="10" l="1"/>
  <c r="N7" i="10"/>
  <c r="N8" i="10" s="1"/>
  <c r="N9" i="10" s="1"/>
  <c r="Q7" i="10"/>
  <c r="Q8" i="10" s="1"/>
  <c r="Q9" i="10" s="1"/>
  <c r="M7" i="10"/>
  <c r="O7" i="10"/>
  <c r="O8" i="10" s="1"/>
  <c r="O9" i="10" s="1"/>
  <c r="R7" i="10"/>
  <c r="R8" i="10" s="1"/>
  <c r="R9" i="10" s="1"/>
  <c r="S7" i="10"/>
  <c r="S8" i="10" s="1"/>
  <c r="S9" i="10" s="1"/>
  <c r="D10" i="11"/>
  <c r="D9" i="11"/>
  <c r="H119" i="10"/>
  <c r="U4" i="10"/>
  <c r="U5" i="10"/>
  <c r="O89" i="10"/>
  <c r="D88" i="10"/>
  <c r="J85" i="10"/>
  <c r="H99" i="10"/>
  <c r="D87" i="10"/>
  <c r="A86" i="5"/>
  <c r="A85" i="5"/>
  <c r="U7" i="10" l="1"/>
  <c r="M8" i="10"/>
  <c r="M9" i="10" s="1"/>
  <c r="U9" i="10" s="1"/>
  <c r="D89" i="10"/>
  <c r="L84" i="10"/>
  <c r="K85" i="10"/>
  <c r="L85" i="10" s="1"/>
  <c r="H100" i="10"/>
  <c r="H121" i="10"/>
  <c r="H120" i="10" s="1"/>
  <c r="I120" i="10" s="1"/>
  <c r="A37" i="5"/>
  <c r="A23" i="5"/>
  <c r="A11" i="5"/>
  <c r="A10" i="5"/>
  <c r="A7" i="5"/>
  <c r="A6" i="5"/>
  <c r="A43" i="7"/>
  <c r="A35" i="7"/>
  <c r="A9" i="7"/>
  <c r="A40" i="7"/>
  <c r="A39" i="7"/>
  <c r="A38" i="7"/>
  <c r="R30" i="6"/>
  <c r="O47" i="6"/>
  <c r="O86" i="6"/>
  <c r="I12" i="6"/>
  <c r="I8" i="6" s="1"/>
  <c r="O93" i="6"/>
  <c r="O92" i="6"/>
  <c r="R27" i="6"/>
  <c r="M98" i="1"/>
  <c r="G107" i="5"/>
  <c r="I103" i="10" s="1"/>
  <c r="J99" i="5"/>
  <c r="J100" i="5"/>
  <c r="U8" i="10" l="1"/>
  <c r="A71" i="5"/>
  <c r="A41" i="5"/>
  <c r="A30" i="5"/>
  <c r="A72" i="5"/>
  <c r="A44" i="5"/>
  <c r="A19" i="5"/>
  <c r="A14" i="5"/>
  <c r="A67" i="5"/>
  <c r="O98" i="1"/>
  <c r="E10" i="7"/>
  <c r="E13" i="7"/>
  <c r="A14" i="7"/>
  <c r="A13" i="7"/>
  <c r="A12" i="7"/>
  <c r="A11" i="7"/>
  <c r="A41" i="7"/>
  <c r="A36" i="7"/>
  <c r="A37" i="7"/>
  <c r="A8" i="7"/>
  <c r="A15" i="7"/>
  <c r="A10" i="7"/>
  <c r="A42" i="7"/>
  <c r="A34" i="7"/>
  <c r="A33" i="7"/>
  <c r="E26" i="7"/>
  <c r="E34" i="7" s="1"/>
  <c r="E36" i="7" s="1"/>
  <c r="A32" i="7"/>
  <c r="A31" i="7"/>
  <c r="A30" i="7"/>
  <c r="A29" i="7"/>
  <c r="G122" i="5"/>
  <c r="G121" i="5"/>
  <c r="G120" i="5"/>
  <c r="G119" i="5"/>
  <c r="G118" i="5"/>
  <c r="G117" i="5"/>
  <c r="G116" i="5"/>
  <c r="G115" i="5"/>
  <c r="G114" i="5"/>
  <c r="G113" i="5"/>
  <c r="A28" i="7"/>
  <c r="A27" i="7"/>
  <c r="A26" i="7"/>
  <c r="A25" i="7"/>
  <c r="A24" i="7"/>
  <c r="G112" i="5"/>
  <c r="G111" i="5"/>
  <c r="H128" i="8"/>
  <c r="H126" i="8"/>
  <c r="H122" i="8"/>
  <c r="I107" i="8"/>
  <c r="I91" i="8"/>
  <c r="I87" i="8"/>
  <c r="I78" i="8"/>
  <c r="I74" i="8"/>
  <c r="I70" i="8"/>
  <c r="I57" i="8"/>
  <c r="I38" i="8"/>
  <c r="I30" i="8"/>
  <c r="I26" i="8"/>
  <c r="I22" i="8"/>
  <c r="I128" i="8" s="1"/>
  <c r="A2" i="8"/>
  <c r="H1" i="8"/>
  <c r="G110" i="5"/>
  <c r="H109" i="5"/>
  <c r="D19" i="7" s="1"/>
  <c r="H108" i="5"/>
  <c r="D18" i="7" s="1"/>
  <c r="A23" i="7"/>
  <c r="A22" i="7"/>
  <c r="A21" i="7"/>
  <c r="A20" i="7"/>
  <c r="A19" i="7"/>
  <c r="A18" i="7"/>
  <c r="A17" i="7"/>
  <c r="A16" i="7"/>
  <c r="A7" i="7"/>
  <c r="A6" i="7"/>
  <c r="A5" i="7"/>
  <c r="A4" i="7"/>
  <c r="A3" i="7"/>
  <c r="A2" i="7"/>
  <c r="G102" i="5"/>
  <c r="G101" i="5"/>
  <c r="G100" i="5"/>
  <c r="G98" i="5"/>
  <c r="G97" i="5"/>
  <c r="D25" i="7" l="1"/>
  <c r="H25" i="7" s="1"/>
  <c r="E26" i="11"/>
  <c r="I111" i="10"/>
  <c r="I93" i="10"/>
  <c r="E3" i="11"/>
  <c r="D26" i="7"/>
  <c r="G26" i="7" s="1"/>
  <c r="E27" i="11"/>
  <c r="I112" i="10"/>
  <c r="D27" i="11"/>
  <c r="D22" i="7"/>
  <c r="H22" i="7" s="1"/>
  <c r="E23" i="11"/>
  <c r="I108" i="10"/>
  <c r="D3" i="7"/>
  <c r="H3" i="7" s="1"/>
  <c r="I94" i="10"/>
  <c r="E4" i="11"/>
  <c r="D28" i="7"/>
  <c r="H28" i="7" s="1"/>
  <c r="E29" i="11"/>
  <c r="I114" i="10"/>
  <c r="D6" i="7"/>
  <c r="G6" i="7" s="1"/>
  <c r="E7" i="11"/>
  <c r="D29" i="7"/>
  <c r="G29" i="7" s="1"/>
  <c r="E30" i="11"/>
  <c r="I115" i="10"/>
  <c r="D27" i="7"/>
  <c r="G27" i="7" s="1"/>
  <c r="E28" i="11"/>
  <c r="I113" i="10"/>
  <c r="D28" i="11"/>
  <c r="I96" i="10"/>
  <c r="E6" i="11"/>
  <c r="D7" i="7"/>
  <c r="E8" i="11"/>
  <c r="E31" i="11"/>
  <c r="F31" i="11" s="1"/>
  <c r="I116" i="10"/>
  <c r="D20" i="7"/>
  <c r="G20" i="7" s="1"/>
  <c r="E21" i="11"/>
  <c r="I106" i="10"/>
  <c r="D23" i="7"/>
  <c r="G23" i="7" s="1"/>
  <c r="E24" i="11"/>
  <c r="I109" i="10"/>
  <c r="D24" i="11"/>
  <c r="D31" i="7"/>
  <c r="H31" i="7" s="1"/>
  <c r="E32" i="11"/>
  <c r="I117" i="10"/>
  <c r="D32" i="11"/>
  <c r="D21" i="7"/>
  <c r="G21" i="7" s="1"/>
  <c r="E22" i="11"/>
  <c r="I107" i="10"/>
  <c r="D22" i="11"/>
  <c r="D24" i="7"/>
  <c r="G24" i="7" s="1"/>
  <c r="E25" i="11"/>
  <c r="I110" i="10"/>
  <c r="D32" i="7"/>
  <c r="D33" i="11"/>
  <c r="I118" i="10"/>
  <c r="D17" i="7"/>
  <c r="E39" i="7"/>
  <c r="G123" i="5"/>
  <c r="G22" i="7"/>
  <c r="G3" i="7"/>
  <c r="J128" i="8"/>
  <c r="D5" i="7"/>
  <c r="H6" i="7" l="1"/>
  <c r="H24" i="7"/>
  <c r="H20" i="7"/>
  <c r="D39" i="7"/>
  <c r="G25" i="7"/>
  <c r="G31" i="7"/>
  <c r="H21" i="7"/>
  <c r="F27" i="11"/>
  <c r="G22" i="11"/>
  <c r="D36" i="11"/>
  <c r="F22" i="11"/>
  <c r="D34" i="11"/>
  <c r="D39" i="11" s="1"/>
  <c r="G4" i="11"/>
  <c r="F4" i="11"/>
  <c r="G24" i="11"/>
  <c r="F24" i="11"/>
  <c r="G32" i="11"/>
  <c r="F32" i="11"/>
  <c r="F7" i="11"/>
  <c r="G7" i="11"/>
  <c r="H23" i="7"/>
  <c r="H29" i="7"/>
  <c r="E36" i="11"/>
  <c r="G21" i="11"/>
  <c r="F21" i="11"/>
  <c r="G28" i="11"/>
  <c r="F28" i="11"/>
  <c r="G23" i="11"/>
  <c r="F23" i="11"/>
  <c r="G6" i="11"/>
  <c r="F6" i="11"/>
  <c r="G25" i="11"/>
  <c r="F25" i="11"/>
  <c r="F26" i="11"/>
  <c r="G26" i="11"/>
  <c r="G30" i="11"/>
  <c r="F30" i="11"/>
  <c r="H27" i="7"/>
  <c r="G28" i="7"/>
  <c r="G29" i="11"/>
  <c r="F29" i="11"/>
  <c r="G17" i="7"/>
  <c r="H17" i="7"/>
  <c r="G5" i="7"/>
  <c r="H5" i="7"/>
  <c r="D35" i="11" l="1"/>
  <c r="D2" i="7"/>
  <c r="L18" i="6"/>
  <c r="L4" i="6"/>
  <c r="O77" i="6"/>
  <c r="O83" i="6"/>
  <c r="O50" i="6"/>
  <c r="L47" i="6" s="1"/>
  <c r="L86" i="6"/>
  <c r="F4" i="6"/>
  <c r="L8" i="6" l="1"/>
  <c r="C3" i="6"/>
  <c r="M23" i="1"/>
  <c r="L12" i="6"/>
  <c r="L77" i="6"/>
  <c r="O80" i="6"/>
  <c r="C5" i="6" l="1"/>
  <c r="C7" i="6"/>
  <c r="F8" i="6" s="1"/>
  <c r="O38" i="6"/>
  <c r="L38" i="6" s="1"/>
  <c r="R24" i="6"/>
  <c r="R21" i="6"/>
  <c r="A84" i="5"/>
  <c r="A73" i="5"/>
  <c r="A79" i="5"/>
  <c r="A81" i="5"/>
  <c r="A80" i="5"/>
  <c r="A75" i="5"/>
  <c r="A74" i="5"/>
  <c r="A83" i="5"/>
  <c r="A82" i="5"/>
  <c r="A78" i="5"/>
  <c r="A77" i="5"/>
  <c r="A70" i="5"/>
  <c r="A68" i="5"/>
  <c r="A69" i="5"/>
  <c r="N26" i="1"/>
  <c r="A9" i="5"/>
  <c r="A13" i="5"/>
  <c r="A22" i="5"/>
  <c r="A28" i="5"/>
  <c r="A31" i="5"/>
  <c r="A32" i="5"/>
  <c r="A33" i="5"/>
  <c r="A34" i="5"/>
  <c r="A35" i="5"/>
  <c r="A36" i="5"/>
  <c r="A43" i="5"/>
  <c r="A45" i="5"/>
  <c r="A46" i="5"/>
  <c r="A55" i="5"/>
  <c r="A56" i="5"/>
  <c r="A64" i="5"/>
  <c r="C9" i="6" l="1"/>
  <c r="F9" i="6"/>
  <c r="L44" i="6"/>
  <c r="A120" i="1"/>
  <c r="A116" i="1"/>
  <c r="A119" i="1"/>
  <c r="A118" i="1"/>
  <c r="A117" i="1"/>
  <c r="M28" i="1" l="1"/>
  <c r="C12" i="6" l="1"/>
  <c r="O14" i="1" l="1"/>
  <c r="M21" i="1"/>
  <c r="M25" i="1"/>
  <c r="L44" i="1"/>
  <c r="M24" i="1"/>
  <c r="T47" i="5"/>
  <c r="J24" i="5"/>
  <c r="G99" i="5" s="1"/>
  <c r="M26" i="1"/>
  <c r="N25" i="1"/>
  <c r="N28" i="1" s="1"/>
  <c r="A42" i="5"/>
  <c r="A40" i="5"/>
  <c r="A39" i="5"/>
  <c r="I20" i="5"/>
  <c r="A20" i="5"/>
  <c r="J21" i="5"/>
  <c r="J88" i="5" s="1"/>
  <c r="I12" i="1"/>
  <c r="H12" i="1"/>
  <c r="A49" i="5"/>
  <c r="A48" i="5"/>
  <c r="A47" i="5"/>
  <c r="A38" i="5"/>
  <c r="A29" i="5"/>
  <c r="A24" i="5"/>
  <c r="A27" i="5"/>
  <c r="A26" i="5"/>
  <c r="A25" i="5"/>
  <c r="A21" i="5"/>
  <c r="A18" i="5"/>
  <c r="A17" i="5"/>
  <c r="A16" i="5"/>
  <c r="A15" i="5"/>
  <c r="A12" i="5"/>
  <c r="A8" i="5"/>
  <c r="A59" i="5"/>
  <c r="A57" i="5"/>
  <c r="A58" i="5"/>
  <c r="A54" i="5"/>
  <c r="A53" i="5"/>
  <c r="A52" i="5"/>
  <c r="A51" i="5"/>
  <c r="A50" i="5"/>
  <c r="A87" i="5"/>
  <c r="A66" i="5"/>
  <c r="A65" i="5"/>
  <c r="A63" i="5"/>
  <c r="A62" i="5"/>
  <c r="A61" i="5"/>
  <c r="A60" i="5"/>
  <c r="R93" i="5"/>
  <c r="R4" i="5"/>
  <c r="R5" i="5" s="1"/>
  <c r="A115" i="1"/>
  <c r="I95" i="10" l="1"/>
  <c r="E5" i="11"/>
  <c r="I88" i="5"/>
  <c r="I89" i="5" s="1"/>
  <c r="R6" i="5"/>
  <c r="J89" i="5"/>
  <c r="D4" i="7"/>
  <c r="G103" i="5"/>
  <c r="T18" i="5"/>
  <c r="F5" i="11" l="1"/>
  <c r="G5" i="11"/>
  <c r="E10" i="11"/>
  <c r="F10" i="11" s="1"/>
  <c r="E9" i="11"/>
  <c r="F9" i="11" s="1"/>
  <c r="E34" i="11"/>
  <c r="E35" i="11" s="1"/>
  <c r="R7" i="5"/>
  <c r="R8" i="5" s="1"/>
  <c r="R9" i="5" s="1"/>
  <c r="K89" i="5"/>
  <c r="D8" i="7"/>
  <c r="D33" i="7"/>
  <c r="D34" i="7" s="1"/>
  <c r="D36" i="7" s="1"/>
  <c r="G36" i="7" s="1"/>
  <c r="D13" i="7"/>
  <c r="G13" i="7" s="1"/>
  <c r="G104" i="5"/>
  <c r="G125" i="5"/>
  <c r="G124" i="5" s="1"/>
  <c r="H124" i="5" s="1"/>
  <c r="G4" i="7"/>
  <c r="D10" i="7"/>
  <c r="G10" i="7" s="1"/>
  <c r="H4" i="7"/>
  <c r="I128" i="5"/>
  <c r="A128" i="5"/>
  <c r="Q93" i="5"/>
  <c r="P93" i="5"/>
  <c r="N93" i="5"/>
  <c r="A5" i="5"/>
  <c r="Q4" i="5"/>
  <c r="Q5" i="5" s="1"/>
  <c r="Q6" i="5" s="1"/>
  <c r="Q7" i="5" s="1"/>
  <c r="P4" i="5"/>
  <c r="P5" i="5" s="1"/>
  <c r="P6" i="5" s="1"/>
  <c r="P7" i="5" s="1"/>
  <c r="O4" i="5"/>
  <c r="O5" i="5" s="1"/>
  <c r="O6" i="5" s="1"/>
  <c r="O7" i="5" s="1"/>
  <c r="N4" i="5"/>
  <c r="N5" i="5" s="1"/>
  <c r="N6" i="5" s="1"/>
  <c r="N7" i="5" s="1"/>
  <c r="M4" i="5"/>
  <c r="M5" i="5" s="1"/>
  <c r="M6" i="5" s="1"/>
  <c r="M7" i="5" s="1"/>
  <c r="L4" i="5"/>
  <c r="A4" i="5"/>
  <c r="R10" i="5" l="1"/>
  <c r="D42" i="7"/>
  <c r="G39" i="7"/>
  <c r="L5" i="5"/>
  <c r="S4" i="5"/>
  <c r="Q8" i="5"/>
  <c r="M8" i="5"/>
  <c r="N8" i="5"/>
  <c r="O8" i="5"/>
  <c r="P8" i="5"/>
  <c r="D92" i="5"/>
  <c r="O93" i="5"/>
  <c r="D90" i="5"/>
  <c r="K88" i="5"/>
  <c r="D91" i="5"/>
  <c r="R11" i="5" l="1"/>
  <c r="R12" i="5" s="1"/>
  <c r="R13" i="5" s="1"/>
  <c r="R14" i="5" s="1"/>
  <c r="R15" i="5" s="1"/>
  <c r="R16" i="5" s="1"/>
  <c r="R17" i="5" s="1"/>
  <c r="R18" i="5" s="1"/>
  <c r="R19" i="5" s="1"/>
  <c r="R20" i="5" s="1"/>
  <c r="R21" i="5" s="1"/>
  <c r="R22" i="5" s="1"/>
  <c r="R23" i="5" s="1"/>
  <c r="S5" i="5"/>
  <c r="L6" i="5"/>
  <c r="P9" i="5"/>
  <c r="N9" i="5"/>
  <c r="O9" i="5"/>
  <c r="M9" i="5"/>
  <c r="Q9" i="5"/>
  <c r="D93" i="5"/>
  <c r="Q10" i="5" l="1"/>
  <c r="P10" i="5"/>
  <c r="O10" i="5"/>
  <c r="M10" i="5"/>
  <c r="N10" i="5"/>
  <c r="S6" i="5"/>
  <c r="L7" i="5"/>
  <c r="M11" i="5" l="1"/>
  <c r="M12" i="5" s="1"/>
  <c r="M13" i="5" s="1"/>
  <c r="M14" i="5" s="1"/>
  <c r="M15" i="5" s="1"/>
  <c r="M16" i="5" s="1"/>
  <c r="M17" i="5" s="1"/>
  <c r="M18" i="5" s="1"/>
  <c r="M19" i="5" s="1"/>
  <c r="M20" i="5" s="1"/>
  <c r="M21" i="5" s="1"/>
  <c r="M22" i="5" s="1"/>
  <c r="M23" i="5" s="1"/>
  <c r="N11" i="5"/>
  <c r="N12" i="5" s="1"/>
  <c r="N13" i="5" s="1"/>
  <c r="N14" i="5" s="1"/>
  <c r="N15" i="5" s="1"/>
  <c r="N16" i="5" s="1"/>
  <c r="N17" i="5" s="1"/>
  <c r="N18" i="5" s="1"/>
  <c r="N19" i="5" s="1"/>
  <c r="N20" i="5" s="1"/>
  <c r="N21" i="5" s="1"/>
  <c r="N22" i="5" s="1"/>
  <c r="N23" i="5" s="1"/>
  <c r="P11" i="5"/>
  <c r="P12" i="5" s="1"/>
  <c r="P13" i="5" s="1"/>
  <c r="P14" i="5" s="1"/>
  <c r="P15" i="5" s="1"/>
  <c r="P16" i="5" s="1"/>
  <c r="P17" i="5" s="1"/>
  <c r="P18" i="5" s="1"/>
  <c r="P19" i="5" s="1"/>
  <c r="P20" i="5" s="1"/>
  <c r="P21" i="5" s="1"/>
  <c r="P22" i="5" s="1"/>
  <c r="P23" i="5" s="1"/>
  <c r="O11" i="5"/>
  <c r="O12" i="5" s="1"/>
  <c r="O13" i="5" s="1"/>
  <c r="O14" i="5" s="1"/>
  <c r="O15" i="5" s="1"/>
  <c r="O16" i="5" s="1"/>
  <c r="O17" i="5" s="1"/>
  <c r="O18" i="5" s="1"/>
  <c r="O19" i="5" s="1"/>
  <c r="O20" i="5" s="1"/>
  <c r="O21" i="5" s="1"/>
  <c r="O22" i="5" s="1"/>
  <c r="O23" i="5" s="1"/>
  <c r="Q11" i="5"/>
  <c r="Q12" i="5" s="1"/>
  <c r="Q13" i="5" s="1"/>
  <c r="Q14" i="5" s="1"/>
  <c r="Q15" i="5" s="1"/>
  <c r="Q16" i="5" s="1"/>
  <c r="Q17" i="5" s="1"/>
  <c r="Q18" i="5" s="1"/>
  <c r="Q19" i="5" s="1"/>
  <c r="Q20" i="5" s="1"/>
  <c r="Q21" i="5" s="1"/>
  <c r="Q22" i="5" s="1"/>
  <c r="Q23" i="5" s="1"/>
  <c r="S7" i="5"/>
  <c r="L8" i="5"/>
  <c r="L9" i="5" l="1"/>
  <c r="L10" i="5" s="1"/>
  <c r="S8" i="5"/>
  <c r="S10" i="5" l="1"/>
  <c r="L11" i="5"/>
  <c r="S11" i="5" s="1"/>
  <c r="S9" i="5"/>
  <c r="L12" i="5" l="1"/>
  <c r="S12" i="5" s="1"/>
  <c r="L13" i="5" l="1"/>
  <c r="S13" i="5" s="1"/>
  <c r="L14" i="5" l="1"/>
  <c r="S14" i="5" s="1"/>
  <c r="L15" i="5" l="1"/>
  <c r="S15" i="5" s="1"/>
  <c r="L16" i="5" l="1"/>
  <c r="S16" i="5" s="1"/>
  <c r="L17" i="5" l="1"/>
  <c r="S17" i="5" s="1"/>
  <c r="L18" i="5" l="1"/>
  <c r="S18" i="5" s="1"/>
  <c r="L19" i="5" l="1"/>
  <c r="S19" i="5" s="1"/>
  <c r="L20" i="5" l="1"/>
  <c r="S20" i="5" s="1"/>
  <c r="L21" i="5" l="1"/>
  <c r="S21" i="5" s="1"/>
  <c r="L22" i="5" l="1"/>
  <c r="L23" i="5" s="1"/>
  <c r="S23" i="5" s="1"/>
  <c r="S22" i="5" l="1"/>
  <c r="L24" i="5"/>
  <c r="L25" i="5" s="1"/>
  <c r="L26" i="5" s="1"/>
  <c r="L27" i="5" s="1"/>
  <c r="L28" i="5" s="1"/>
  <c r="L29" i="5" s="1"/>
  <c r="L30" i="5" s="1"/>
  <c r="L31" i="5" s="1"/>
  <c r="L32" i="5" s="1"/>
  <c r="L33" i="5" s="1"/>
  <c r="L34" i="5" s="1"/>
  <c r="L35" i="5" s="1"/>
  <c r="L36" i="5" s="1"/>
  <c r="L37" i="5" s="1"/>
  <c r="L38" i="5" l="1"/>
  <c r="L39" i="5" s="1"/>
  <c r="L40" i="5" s="1"/>
  <c r="L41" i="5" s="1"/>
  <c r="L42" i="5" s="1"/>
  <c r="L43" i="5" s="1"/>
  <c r="L44" i="5" s="1"/>
  <c r="L45" i="5" s="1"/>
  <c r="L46" i="5" s="1"/>
  <c r="L47" i="5" s="1"/>
  <c r="L48" i="5" s="1"/>
  <c r="L49" i="5" s="1"/>
  <c r="L50" i="5" s="1"/>
  <c r="L51" i="5" s="1"/>
  <c r="L52" i="5" l="1"/>
  <c r="L53" i="5" l="1"/>
  <c r="L54" i="5" l="1"/>
  <c r="L55" i="5" l="1"/>
  <c r="L56" i="5" l="1"/>
  <c r="L57" i="5" s="1"/>
  <c r="L58" i="5" s="1"/>
  <c r="L59" i="5" s="1"/>
  <c r="L60" i="5" s="1"/>
  <c r="L61" i="5" s="1"/>
  <c r="L62" i="5" s="1"/>
  <c r="L63" i="5" l="1"/>
  <c r="L64" i="5" s="1"/>
  <c r="L65" i="5" l="1"/>
  <c r="L66" i="5" l="1"/>
  <c r="L67" i="5" s="1"/>
  <c r="L68" i="5" l="1"/>
  <c r="L69" i="5" l="1"/>
  <c r="L70" i="5" l="1"/>
  <c r="H13" i="1"/>
  <c r="A95" i="1"/>
  <c r="A94" i="1"/>
  <c r="A93" i="1"/>
  <c r="I16" i="1"/>
  <c r="M8" i="1"/>
  <c r="A16" i="1"/>
  <c r="A12" i="1"/>
  <c r="A15" i="1"/>
  <c r="A113" i="1"/>
  <c r="A112" i="1"/>
  <c r="A111" i="1"/>
  <c r="A110" i="1"/>
  <c r="A109" i="1"/>
  <c r="A108" i="1"/>
  <c r="A107" i="1"/>
  <c r="A106" i="1"/>
  <c r="A105" i="1"/>
  <c r="A104" i="1"/>
  <c r="A103" i="1"/>
  <c r="A102" i="1"/>
  <c r="A101" i="1"/>
  <c r="A100" i="1"/>
  <c r="A99" i="1"/>
  <c r="A98" i="1"/>
  <c r="A91" i="1"/>
  <c r="A96" i="1"/>
  <c r="O23" i="1"/>
  <c r="A23" i="1"/>
  <c r="L71" i="5" l="1"/>
  <c r="A74" i="1"/>
  <c r="A73" i="1"/>
  <c r="A72" i="1"/>
  <c r="A71" i="1"/>
  <c r="A70" i="1"/>
  <c r="A69" i="1"/>
  <c r="A68" i="1"/>
  <c r="A67" i="1"/>
  <c r="A66" i="1"/>
  <c r="A65" i="1"/>
  <c r="A64" i="1"/>
  <c r="A63" i="1"/>
  <c r="A62" i="1"/>
  <c r="A61" i="1"/>
  <c r="A80" i="1"/>
  <c r="A79" i="1"/>
  <c r="A78" i="1"/>
  <c r="A77" i="1"/>
  <c r="A76" i="1"/>
  <c r="A75" i="1"/>
  <c r="A60" i="1"/>
  <c r="A59" i="1"/>
  <c r="A84" i="1"/>
  <c r="A83" i="1"/>
  <c r="A82" i="1"/>
  <c r="A81" i="1"/>
  <c r="A86" i="1"/>
  <c r="A85" i="1"/>
  <c r="A87" i="1"/>
  <c r="A55" i="1"/>
  <c r="A54" i="1"/>
  <c r="A53" i="1"/>
  <c r="A52" i="1"/>
  <c r="A57" i="1"/>
  <c r="A56" i="1"/>
  <c r="A58" i="1"/>
  <c r="A47" i="1"/>
  <c r="A46" i="1"/>
  <c r="A45" i="1"/>
  <c r="A44" i="1"/>
  <c r="A88" i="1"/>
  <c r="A51" i="1"/>
  <c r="A50" i="1"/>
  <c r="A49" i="1"/>
  <c r="A48" i="1"/>
  <c r="A43" i="1"/>
  <c r="A42" i="1"/>
  <c r="A41" i="1"/>
  <c r="A40" i="1"/>
  <c r="A39" i="1"/>
  <c r="A38" i="1"/>
  <c r="A37" i="1"/>
  <c r="A36" i="1"/>
  <c r="A35" i="1"/>
  <c r="A34" i="1"/>
  <c r="A33" i="1"/>
  <c r="A32" i="1"/>
  <c r="A31" i="1"/>
  <c r="A29" i="1"/>
  <c r="A28" i="1"/>
  <c r="A30" i="1"/>
  <c r="A27" i="1"/>
  <c r="A26" i="1"/>
  <c r="A25" i="1"/>
  <c r="Q89" i="1"/>
  <c r="M90" i="1" s="1"/>
  <c r="O21" i="1"/>
  <c r="O22" i="1"/>
  <c r="O18" i="1"/>
  <c r="O17" i="1"/>
  <c r="Q14" i="1"/>
  <c r="M19" i="1"/>
  <c r="P24" i="1" s="1"/>
  <c r="I13" i="1"/>
  <c r="A22" i="1"/>
  <c r="A24" i="1"/>
  <c r="A20" i="1"/>
  <c r="A19" i="1"/>
  <c r="A114" i="1"/>
  <c r="A97" i="1"/>
  <c r="A92" i="1"/>
  <c r="A90" i="1"/>
  <c r="I5" i="1"/>
  <c r="I4" i="1"/>
  <c r="J4" i="1" s="1"/>
  <c r="A89" i="1"/>
  <c r="A13" i="1"/>
  <c r="A7" i="1"/>
  <c r="A6" i="1"/>
  <c r="L72" i="5" l="1"/>
  <c r="Q17" i="1"/>
  <c r="Q18" i="1" s="1"/>
  <c r="Q19" i="1" s="1"/>
  <c r="Q20" i="1" s="1"/>
  <c r="Q21" i="1" s="1"/>
  <c r="Q22" i="1" s="1"/>
  <c r="J5" i="1"/>
  <c r="J6" i="1" s="1"/>
  <c r="J7" i="1" s="1"/>
  <c r="J8" i="1" s="1"/>
  <c r="J9" i="1" s="1"/>
  <c r="J10" i="1" s="1"/>
  <c r="A18" i="1"/>
  <c r="A17" i="1"/>
  <c r="A21" i="1"/>
  <c r="A14" i="1"/>
  <c r="M124" i="1"/>
  <c r="A122" i="1"/>
  <c r="A121" i="1"/>
  <c r="A11" i="1"/>
  <c r="A10" i="1"/>
  <c r="A9" i="1"/>
  <c r="A8" i="1"/>
  <c r="A5" i="1"/>
  <c r="A4" i="1"/>
  <c r="H4" i="2"/>
  <c r="H11" i="2" s="1"/>
  <c r="J11" i="1" l="1"/>
  <c r="Q24" i="1"/>
  <c r="Q23" i="1"/>
  <c r="L125" i="1"/>
  <c r="J13" i="1" l="1"/>
  <c r="J14" i="1" s="1"/>
  <c r="J15" i="1" s="1"/>
  <c r="J12" i="1"/>
  <c r="A2" i="2"/>
  <c r="H1" i="2"/>
  <c r="J16" i="1" l="1"/>
  <c r="J17" i="1" s="1"/>
  <c r="J18" i="1" s="1"/>
  <c r="J19" i="1" s="1"/>
  <c r="J20" i="1" s="1"/>
  <c r="J21" i="1" s="1"/>
  <c r="J22" i="1" s="1"/>
  <c r="J23" i="1" s="1"/>
  <c r="J24" i="1" s="1"/>
  <c r="J25" i="1" s="1"/>
  <c r="J26" i="1" s="1"/>
  <c r="J27" i="1" s="1"/>
  <c r="J28" i="1" s="1"/>
  <c r="J29" i="1" s="1"/>
  <c r="J30" i="1" s="1"/>
  <c r="J31" i="1" s="1"/>
  <c r="J32" i="1" s="1"/>
  <c r="J33" i="1" s="1"/>
  <c r="J34" i="1" s="1"/>
  <c r="J35" i="1" s="1"/>
  <c r="J36" i="1" s="1"/>
  <c r="J37" i="1" s="1"/>
  <c r="J38" i="1" s="1"/>
  <c r="J39" i="1" s="1"/>
  <c r="J40" i="1" s="1"/>
  <c r="J41" i="1" s="1"/>
  <c r="J42" i="1" s="1"/>
  <c r="J43" i="1" s="1"/>
  <c r="J44" i="1" s="1"/>
  <c r="J45" i="1" s="1"/>
  <c r="J46" i="1" s="1"/>
  <c r="J47" i="1" s="1"/>
  <c r="J48" i="1" s="1"/>
  <c r="J49" i="1" s="1"/>
  <c r="J50" i="1" s="1"/>
  <c r="J51" i="1" s="1"/>
  <c r="J52" i="1" s="1"/>
  <c r="J53" i="1" s="1"/>
  <c r="J54" i="1" s="1"/>
  <c r="J55" i="1" s="1"/>
  <c r="J56" i="1" s="1"/>
  <c r="J57" i="1" s="1"/>
  <c r="J58" i="1" s="1"/>
  <c r="J59" i="1" s="1"/>
  <c r="J60" i="1" s="1"/>
  <c r="J61" i="1" s="1"/>
  <c r="J62" i="1" s="1"/>
  <c r="J63" i="1" s="1"/>
  <c r="J64" i="1" s="1"/>
  <c r="J65" i="1" s="1"/>
  <c r="J66" i="1" s="1"/>
  <c r="J67" i="1" s="1"/>
  <c r="J68" i="1" s="1"/>
  <c r="J69" i="1" s="1"/>
  <c r="J70" i="1" s="1"/>
  <c r="J71" i="1" s="1"/>
  <c r="J72" i="1" s="1"/>
  <c r="J73" i="1" s="1"/>
  <c r="J74" i="1" s="1"/>
  <c r="J75" i="1" s="1"/>
  <c r="J76" i="1" s="1"/>
  <c r="J77" i="1" s="1"/>
  <c r="J78" i="1" s="1"/>
  <c r="J79" i="1" s="1"/>
  <c r="J80" i="1" s="1"/>
  <c r="J81" i="1" s="1"/>
  <c r="J82" i="1" s="1"/>
  <c r="J83" i="1" s="1"/>
  <c r="J84" i="1" s="1"/>
  <c r="J85" i="1" s="1"/>
  <c r="J86" i="1" s="1"/>
  <c r="J87" i="1" s="1"/>
  <c r="J88" i="1" s="1"/>
  <c r="J89" i="1" s="1"/>
  <c r="J90" i="1" s="1"/>
  <c r="J91" i="1" s="1"/>
  <c r="J92" i="1" s="1"/>
  <c r="J11" i="2"/>
  <c r="I126" i="1"/>
  <c r="I127" i="1" s="1"/>
  <c r="H126" i="1"/>
  <c r="H127" i="1" s="1"/>
  <c r="J96" i="1" l="1"/>
  <c r="J97" i="1" s="1"/>
  <c r="J98" i="1" s="1"/>
  <c r="J99" i="1" s="1"/>
  <c r="J100" i="1" s="1"/>
  <c r="J101" i="1" s="1"/>
  <c r="J102" i="1" s="1"/>
  <c r="J103" i="1" s="1"/>
  <c r="J104" i="1" s="1"/>
  <c r="J105" i="1" s="1"/>
  <c r="J106" i="1" s="1"/>
  <c r="J107" i="1" s="1"/>
  <c r="J108" i="1" s="1"/>
  <c r="J109" i="1" s="1"/>
  <c r="J110" i="1" s="1"/>
  <c r="J111" i="1" s="1"/>
  <c r="J112" i="1" s="1"/>
  <c r="J113" i="1" s="1"/>
  <c r="J114" i="1" s="1"/>
  <c r="J93" i="1"/>
  <c r="J94" i="1" s="1"/>
  <c r="J95" i="1" s="1"/>
  <c r="J126" i="1"/>
  <c r="J115" i="1" l="1"/>
  <c r="J116" i="1" s="1"/>
  <c r="J117" i="1" s="1"/>
  <c r="J118" i="1" s="1"/>
  <c r="J119" i="1" s="1"/>
  <c r="J120" i="1" s="1"/>
  <c r="J121" i="1" s="1"/>
  <c r="J122" i="1" s="1"/>
  <c r="J123" i="1" s="1"/>
  <c r="J124" i="1" s="1"/>
  <c r="J125" i="1" s="1"/>
  <c r="J131" i="1"/>
  <c r="J133" i="1" s="1"/>
  <c r="N24" i="5" l="1"/>
  <c r="N25" i="5" s="1"/>
  <c r="N26" i="5" s="1"/>
  <c r="N27" i="5" s="1"/>
  <c r="O24" i="5"/>
  <c r="O25" i="5" s="1"/>
  <c r="O26" i="5" s="1"/>
  <c r="O27" i="5" s="1"/>
  <c r="P24" i="5"/>
  <c r="P25" i="5" s="1"/>
  <c r="P26" i="5" s="1"/>
  <c r="P27" i="5" s="1"/>
  <c r="Q24" i="5"/>
  <c r="Q25" i="5" s="1"/>
  <c r="Q26" i="5" s="1"/>
  <c r="Q27" i="5" s="1"/>
  <c r="M24" i="5"/>
  <c r="M25" i="5" s="1"/>
  <c r="M26" i="5" s="1"/>
  <c r="R24" i="5"/>
  <c r="R25" i="5" s="1"/>
  <c r="R26" i="5" s="1"/>
  <c r="R27" i="5" s="1"/>
  <c r="Q28" i="5" l="1"/>
  <c r="Q29" i="5" s="1"/>
  <c r="P28" i="5"/>
  <c r="P29" i="5" s="1"/>
  <c r="O28" i="5"/>
  <c r="O29" i="5" s="1"/>
  <c r="N28" i="5"/>
  <c r="N29" i="5" s="1"/>
  <c r="R28" i="5"/>
  <c r="R29" i="5" s="1"/>
  <c r="S24" i="5"/>
  <c r="M27" i="5"/>
  <c r="M28" i="5" s="1"/>
  <c r="S26" i="5"/>
  <c r="S25" i="5"/>
  <c r="R30" i="5" l="1"/>
  <c r="R31" i="5" s="1"/>
  <c r="R32" i="5" s="1"/>
  <c r="R33" i="5" s="1"/>
  <c r="R34" i="5" s="1"/>
  <c r="R35" i="5" s="1"/>
  <c r="O30" i="5"/>
  <c r="O31" i="5" s="1"/>
  <c r="O32" i="5" s="1"/>
  <c r="O33" i="5" s="1"/>
  <c r="O34" i="5" s="1"/>
  <c r="O35" i="5" s="1"/>
  <c r="P30" i="5"/>
  <c r="P31" i="5" s="1"/>
  <c r="P32" i="5" s="1"/>
  <c r="P33" i="5" s="1"/>
  <c r="P34" i="5" s="1"/>
  <c r="P35" i="5" s="1"/>
  <c r="N30" i="5"/>
  <c r="N31" i="5" s="1"/>
  <c r="N32" i="5" s="1"/>
  <c r="N33" i="5" s="1"/>
  <c r="N34" i="5" s="1"/>
  <c r="N35" i="5" s="1"/>
  <c r="Q30" i="5"/>
  <c r="Q31" i="5" s="1"/>
  <c r="Q32" i="5" s="1"/>
  <c r="Q33" i="5" s="1"/>
  <c r="Q34" i="5" s="1"/>
  <c r="Q35" i="5" s="1"/>
  <c r="S28" i="5"/>
  <c r="S27" i="5"/>
  <c r="M29" i="5"/>
  <c r="M30" i="5" l="1"/>
  <c r="S30" i="5" s="1"/>
  <c r="S29" i="5"/>
  <c r="M31" i="5" l="1"/>
  <c r="S31" i="5" l="1"/>
  <c r="M32" i="5"/>
  <c r="S32" i="5" l="1"/>
  <c r="M33" i="5"/>
  <c r="S33" i="5" l="1"/>
  <c r="M34" i="5"/>
  <c r="S34" i="5" l="1"/>
  <c r="M35" i="5"/>
  <c r="S35" i="5" l="1"/>
  <c r="M36" i="5"/>
  <c r="M37" i="5" l="1"/>
  <c r="M38" i="5" l="1"/>
  <c r="M39" i="5" s="1"/>
  <c r="M40" i="5" s="1"/>
  <c r="M41" i="5" s="1"/>
  <c r="M42" i="5" s="1"/>
  <c r="M43" i="5" s="1"/>
  <c r="M44" i="5" s="1"/>
  <c r="M45" i="5" s="1"/>
  <c r="M46" i="5" s="1"/>
  <c r="M47" i="5" l="1"/>
  <c r="M48" i="5" l="1"/>
  <c r="M49" i="5" l="1"/>
  <c r="M50" i="5" l="1"/>
  <c r="M51" i="5" l="1"/>
  <c r="M52" i="5" l="1"/>
  <c r="M53" i="5" l="1"/>
  <c r="M54" i="5" l="1"/>
  <c r="M55" i="5" l="1"/>
  <c r="M56" i="5" l="1"/>
  <c r="M57" i="5" l="1"/>
  <c r="M58" i="5" l="1"/>
  <c r="M59" i="5" l="1"/>
  <c r="M60" i="5" l="1"/>
  <c r="M61" i="5" l="1"/>
  <c r="M62" i="5" l="1"/>
  <c r="M63" i="5" l="1"/>
  <c r="M64" i="5" l="1"/>
  <c r="M65" i="5" l="1"/>
  <c r="M66" i="5" l="1"/>
  <c r="M67" i="5" s="1"/>
  <c r="M68" i="5" l="1"/>
  <c r="M69" i="5" l="1"/>
  <c r="M70" i="5" l="1"/>
  <c r="M71" i="5" l="1"/>
  <c r="N36" i="5"/>
  <c r="O36" i="5"/>
  <c r="P36" i="5"/>
  <c r="Q36" i="5"/>
  <c r="R36" i="5"/>
  <c r="R37" i="5" l="1"/>
  <c r="R38" i="5" s="1"/>
  <c r="R39" i="5" s="1"/>
  <c r="R40" i="5" s="1"/>
  <c r="R41" i="5" s="1"/>
  <c r="R42" i="5" s="1"/>
  <c r="R43" i="5" s="1"/>
  <c r="R44" i="5" s="1"/>
  <c r="R45" i="5" s="1"/>
  <c r="R46" i="5" s="1"/>
  <c r="R47" i="5" s="1"/>
  <c r="R48" i="5" s="1"/>
  <c r="R49" i="5" s="1"/>
  <c r="R50" i="5" s="1"/>
  <c r="R51" i="5" s="1"/>
  <c r="R52" i="5" s="1"/>
  <c r="R53" i="5" s="1"/>
  <c r="R54" i="5" s="1"/>
  <c r="R55" i="5" s="1"/>
  <c r="R56" i="5" s="1"/>
  <c r="R57" i="5" s="1"/>
  <c r="R58" i="5" s="1"/>
  <c r="R59" i="5" s="1"/>
  <c r="R60" i="5" s="1"/>
  <c r="R61" i="5" s="1"/>
  <c r="R62" i="5" s="1"/>
  <c r="R63" i="5" s="1"/>
  <c r="R64" i="5" s="1"/>
  <c r="R65" i="5" s="1"/>
  <c r="R66" i="5" s="1"/>
  <c r="R67" i="5" s="1"/>
  <c r="R68" i="5" s="1"/>
  <c r="R69" i="5" s="1"/>
  <c r="P37" i="5"/>
  <c r="P38" i="5" s="1"/>
  <c r="P39" i="5" s="1"/>
  <c r="P40" i="5" s="1"/>
  <c r="P41" i="5" s="1"/>
  <c r="P42" i="5" s="1"/>
  <c r="P43" i="5" s="1"/>
  <c r="P44" i="5" s="1"/>
  <c r="P45" i="5" s="1"/>
  <c r="P46" i="5" s="1"/>
  <c r="P47" i="5" s="1"/>
  <c r="P48" i="5" s="1"/>
  <c r="P49" i="5" s="1"/>
  <c r="P50" i="5" s="1"/>
  <c r="P51" i="5" s="1"/>
  <c r="P52" i="5" s="1"/>
  <c r="P53" i="5" s="1"/>
  <c r="P54" i="5" s="1"/>
  <c r="P55" i="5" s="1"/>
  <c r="P56" i="5" s="1"/>
  <c r="P57" i="5" s="1"/>
  <c r="P58" i="5" s="1"/>
  <c r="P59" i="5" s="1"/>
  <c r="P60" i="5" s="1"/>
  <c r="P61" i="5" s="1"/>
  <c r="P62" i="5" s="1"/>
  <c r="P63" i="5" s="1"/>
  <c r="P64" i="5" s="1"/>
  <c r="P65" i="5" s="1"/>
  <c r="P66" i="5" s="1"/>
  <c r="P67" i="5" s="1"/>
  <c r="P68" i="5" s="1"/>
  <c r="P69" i="5" s="1"/>
  <c r="N37" i="5"/>
  <c r="Q37" i="5"/>
  <c r="Q38" i="5" s="1"/>
  <c r="Q39" i="5" s="1"/>
  <c r="Q40" i="5" s="1"/>
  <c r="Q41" i="5" s="1"/>
  <c r="Q42" i="5" s="1"/>
  <c r="Q43" i="5" s="1"/>
  <c r="Q44" i="5" s="1"/>
  <c r="Q45" i="5" s="1"/>
  <c r="Q46" i="5" s="1"/>
  <c r="Q47" i="5" s="1"/>
  <c r="Q48" i="5" s="1"/>
  <c r="Q49" i="5" s="1"/>
  <c r="Q50" i="5" s="1"/>
  <c r="Q51" i="5" s="1"/>
  <c r="Q52" i="5" s="1"/>
  <c r="Q53" i="5" s="1"/>
  <c r="Q54" i="5" s="1"/>
  <c r="Q55" i="5" s="1"/>
  <c r="Q56" i="5" s="1"/>
  <c r="Q57" i="5" s="1"/>
  <c r="Q58" i="5" s="1"/>
  <c r="Q59" i="5" s="1"/>
  <c r="Q60" i="5" s="1"/>
  <c r="Q61" i="5" s="1"/>
  <c r="Q62" i="5" s="1"/>
  <c r="Q63" i="5" s="1"/>
  <c r="Q64" i="5" s="1"/>
  <c r="Q65" i="5" s="1"/>
  <c r="Q66" i="5" s="1"/>
  <c r="Q67" i="5" s="1"/>
  <c r="Q68" i="5" s="1"/>
  <c r="Q69" i="5" s="1"/>
  <c r="O37" i="5"/>
  <c r="O38" i="5" s="1"/>
  <c r="O39" i="5" s="1"/>
  <c r="O40" i="5" s="1"/>
  <c r="M72" i="5"/>
  <c r="S36" i="5"/>
  <c r="S37" i="5" l="1"/>
  <c r="N38" i="5"/>
  <c r="O41" i="5"/>
  <c r="O42" i="5" s="1"/>
  <c r="O43" i="5" s="1"/>
  <c r="O44" i="5" s="1"/>
  <c r="O45" i="5" s="1"/>
  <c r="O46" i="5" s="1"/>
  <c r="O47" i="5" s="1"/>
  <c r="O48" i="5" s="1"/>
  <c r="O49" i="5" s="1"/>
  <c r="O50" i="5" s="1"/>
  <c r="O51" i="5" s="1"/>
  <c r="O52" i="5" s="1"/>
  <c r="O53" i="5" s="1"/>
  <c r="O54" i="5" s="1"/>
  <c r="O55" i="5" s="1"/>
  <c r="O56" i="5" s="1"/>
  <c r="O57" i="5" s="1"/>
  <c r="O58" i="5" s="1"/>
  <c r="O59" i="5" s="1"/>
  <c r="O60" i="5" s="1"/>
  <c r="O61" i="5" s="1"/>
  <c r="O62" i="5" s="1"/>
  <c r="O63" i="5" s="1"/>
  <c r="O64" i="5" s="1"/>
  <c r="O65" i="5" s="1"/>
  <c r="O66" i="5" s="1"/>
  <c r="O67" i="5" s="1"/>
  <c r="O68" i="5" s="1"/>
  <c r="O69" i="5" s="1"/>
  <c r="Q70" i="5"/>
  <c r="Q71" i="5" s="1"/>
  <c r="P70" i="5"/>
  <c r="P71" i="5" s="1"/>
  <c r="R70" i="5"/>
  <c r="R71" i="5" s="1"/>
  <c r="N39" i="5" l="1"/>
  <c r="S38" i="5"/>
  <c r="R72" i="5"/>
  <c r="P72" i="5"/>
  <c r="Q72" i="5"/>
  <c r="O70" i="5"/>
  <c r="O71" i="5" s="1"/>
  <c r="N40" i="5" l="1"/>
  <c r="S39" i="5"/>
  <c r="O72" i="5"/>
  <c r="N41" i="5" l="1"/>
  <c r="S40" i="5"/>
  <c r="N42" i="5" l="1"/>
  <c r="S41" i="5"/>
  <c r="N43" i="5" l="1"/>
  <c r="S42" i="5"/>
  <c r="N44" i="5" l="1"/>
  <c r="S43" i="5"/>
  <c r="S44" i="5" l="1"/>
  <c r="N45" i="5"/>
  <c r="N46" i="5" l="1"/>
  <c r="S45" i="5"/>
  <c r="S46" i="5" l="1"/>
  <c r="N47" i="5"/>
  <c r="N48" i="5" l="1"/>
  <c r="S47" i="5"/>
  <c r="N49" i="5" l="1"/>
  <c r="S48" i="5"/>
  <c r="S49" i="5" l="1"/>
  <c r="N50" i="5"/>
  <c r="N51" i="5" l="1"/>
  <c r="S50" i="5"/>
  <c r="S51" i="5" l="1"/>
  <c r="N52" i="5"/>
  <c r="S52" i="5" l="1"/>
  <c r="N53" i="5"/>
  <c r="N54" i="5" l="1"/>
  <c r="S53" i="5"/>
  <c r="N55" i="5" l="1"/>
  <c r="S54" i="5"/>
  <c r="S55" i="5" l="1"/>
  <c r="N56" i="5"/>
  <c r="N57" i="5" l="1"/>
  <c r="S56" i="5"/>
  <c r="S57" i="5" l="1"/>
  <c r="N58" i="5"/>
  <c r="S58" i="5" l="1"/>
  <c r="N59" i="5"/>
  <c r="S59" i="5" l="1"/>
  <c r="N60" i="5"/>
  <c r="S60" i="5" l="1"/>
  <c r="N61" i="5"/>
  <c r="S61" i="5" l="1"/>
  <c r="N62" i="5"/>
  <c r="N63" i="5" l="1"/>
  <c r="S62" i="5"/>
  <c r="S63" i="5" l="1"/>
  <c r="N64" i="5"/>
  <c r="N65" i="5" l="1"/>
  <c r="S64" i="5"/>
  <c r="S65" i="5" l="1"/>
  <c r="N66" i="5"/>
  <c r="N67" i="5" l="1"/>
  <c r="S66" i="5"/>
  <c r="S67" i="5" l="1"/>
  <c r="N68" i="5"/>
  <c r="S68" i="5" l="1"/>
  <c r="N69" i="5"/>
  <c r="L73" i="5"/>
  <c r="L74" i="5" s="1"/>
  <c r="M73" i="5"/>
  <c r="M74" i="5" s="1"/>
  <c r="M75" i="5" s="1"/>
  <c r="O73" i="5"/>
  <c r="O74" i="5" s="1"/>
  <c r="O75" i="5" s="1"/>
  <c r="P73" i="5"/>
  <c r="P74" i="5" s="1"/>
  <c r="P75" i="5" s="1"/>
  <c r="Q73" i="5"/>
  <c r="Q74" i="5" s="1"/>
  <c r="Q75" i="5" s="1"/>
  <c r="R73" i="5"/>
  <c r="R74" i="5" s="1"/>
  <c r="R75" i="5" s="1"/>
  <c r="Q76" i="5" l="1"/>
  <c r="Q77" i="5" s="1"/>
  <c r="Q78" i="5" s="1"/>
  <c r="Q79" i="5" s="1"/>
  <c r="Q80" i="5" s="1"/>
  <c r="Q81" i="5" s="1"/>
  <c r="Q82" i="5" s="1"/>
  <c r="Q83" i="5" s="1"/>
  <c r="Q84" i="5" s="1"/>
  <c r="Q85" i="5" s="1"/>
  <c r="P76" i="5"/>
  <c r="P77" i="5" s="1"/>
  <c r="P78" i="5" s="1"/>
  <c r="P79" i="5" s="1"/>
  <c r="P80" i="5" s="1"/>
  <c r="P81" i="5" s="1"/>
  <c r="P82" i="5" s="1"/>
  <c r="P83" i="5" s="1"/>
  <c r="P84" i="5" s="1"/>
  <c r="P85" i="5" s="1"/>
  <c r="M76" i="5"/>
  <c r="M77" i="5" s="1"/>
  <c r="M78" i="5" s="1"/>
  <c r="M79" i="5" s="1"/>
  <c r="M80" i="5" s="1"/>
  <c r="M81" i="5" s="1"/>
  <c r="M82" i="5" s="1"/>
  <c r="M83" i="5" s="1"/>
  <c r="M84" i="5" s="1"/>
  <c r="M85" i="5" s="1"/>
  <c r="R76" i="5"/>
  <c r="R77" i="5" s="1"/>
  <c r="R78" i="5" s="1"/>
  <c r="R79" i="5" s="1"/>
  <c r="R80" i="5" s="1"/>
  <c r="R81" i="5" s="1"/>
  <c r="R82" i="5" s="1"/>
  <c r="R83" i="5" s="1"/>
  <c r="R84" i="5" s="1"/>
  <c r="R85" i="5" s="1"/>
  <c r="O76" i="5"/>
  <c r="O77" i="5" s="1"/>
  <c r="O78" i="5" s="1"/>
  <c r="O79" i="5" s="1"/>
  <c r="O80" i="5" s="1"/>
  <c r="O81" i="5" s="1"/>
  <c r="O82" i="5" s="1"/>
  <c r="O83" i="5" s="1"/>
  <c r="O84" i="5" s="1"/>
  <c r="O85" i="5" s="1"/>
  <c r="N70" i="5"/>
  <c r="S69" i="5"/>
  <c r="L75" i="5"/>
  <c r="L76" i="5" s="1"/>
  <c r="M86" i="5" l="1"/>
  <c r="M87" i="5" s="1"/>
  <c r="M88" i="5" s="1"/>
  <c r="L91" i="5" s="1"/>
  <c r="O86" i="5"/>
  <c r="O87" i="5" s="1"/>
  <c r="O88" i="5" s="1"/>
  <c r="P86" i="5"/>
  <c r="P87" i="5" s="1"/>
  <c r="P88" i="5" s="1"/>
  <c r="Q86" i="5"/>
  <c r="Q87" i="5" s="1"/>
  <c r="Q88" i="5" s="1"/>
  <c r="R86" i="5"/>
  <c r="R87" i="5" s="1"/>
  <c r="R88" i="5" s="1"/>
  <c r="N71" i="5"/>
  <c r="S70" i="5"/>
  <c r="L77" i="5"/>
  <c r="S71" i="5" l="1"/>
  <c r="N72" i="5"/>
  <c r="L78" i="5"/>
  <c r="S72" i="5" l="1"/>
  <c r="N73" i="5"/>
  <c r="L79" i="5"/>
  <c r="N74" i="5" l="1"/>
  <c r="S73" i="5"/>
  <c r="L80" i="5"/>
  <c r="N75" i="5" l="1"/>
  <c r="N76" i="5" s="1"/>
  <c r="S76" i="5" s="1"/>
  <c r="S74" i="5"/>
  <c r="L81" i="5"/>
  <c r="N77" i="5" l="1"/>
  <c r="S75" i="5"/>
  <c r="L82" i="5"/>
  <c r="N78" i="5" l="1"/>
  <c r="S77" i="5"/>
  <c r="L83" i="5"/>
  <c r="N79" i="5" l="1"/>
  <c r="S78" i="5"/>
  <c r="L84" i="5"/>
  <c r="L85" i="5" s="1"/>
  <c r="L86" i="5" s="1"/>
  <c r="N80" i="5" l="1"/>
  <c r="S79" i="5"/>
  <c r="L87" i="5"/>
  <c r="N81" i="5" l="1"/>
  <c r="S80" i="5"/>
  <c r="L88" i="5"/>
  <c r="N82" i="5" l="1"/>
  <c r="S81" i="5"/>
  <c r="L90" i="5"/>
  <c r="N83" i="5" l="1"/>
  <c r="S82" i="5"/>
  <c r="N84" i="5" l="1"/>
  <c r="N85" i="5" s="1"/>
  <c r="S83" i="5"/>
  <c r="S85" i="5" l="1"/>
  <c r="N86" i="5"/>
  <c r="S86" i="5" s="1"/>
  <c r="S84" i="5"/>
  <c r="N87" i="5" l="1"/>
  <c r="N88" i="5" s="1"/>
  <c r="S87" i="5" l="1"/>
  <c r="L92" i="5"/>
  <c r="S88" i="5"/>
  <c r="N10" i="10" l="1"/>
  <c r="M10" i="10"/>
  <c r="M11" i="10" l="1"/>
  <c r="N11" i="10"/>
  <c r="N12" i="10" s="1"/>
  <c r="N13" i="10" s="1"/>
  <c r="N14" i="10" s="1"/>
  <c r="N15" i="10" s="1"/>
  <c r="N16" i="10" s="1"/>
  <c r="N17" i="10" s="1"/>
  <c r="N18" i="10" s="1"/>
  <c r="N19" i="10" s="1"/>
  <c r="N20" i="10" s="1"/>
  <c r="N21" i="10" s="1"/>
  <c r="N22" i="10" s="1"/>
  <c r="N23" i="10" s="1"/>
  <c r="N24" i="10" s="1"/>
  <c r="N25" i="10" s="1"/>
  <c r="N26" i="10" s="1"/>
  <c r="N27" i="10" s="1"/>
  <c r="M12" i="10" l="1"/>
  <c r="N28" i="10"/>
  <c r="N29" i="10" s="1"/>
  <c r="N30" i="10" s="1"/>
  <c r="N31" i="10" s="1"/>
  <c r="N32" i="10" s="1"/>
  <c r="N33" i="10" s="1"/>
  <c r="N34" i="10" s="1"/>
  <c r="N35" i="10" s="1"/>
  <c r="N36" i="10" l="1"/>
  <c r="N37" i="10" s="1"/>
  <c r="N38" i="10" s="1"/>
  <c r="N39" i="10" s="1"/>
  <c r="N40" i="10" s="1"/>
  <c r="N41" i="10" s="1"/>
  <c r="N42" i="10" s="1"/>
  <c r="N43" i="10" s="1"/>
  <c r="N44" i="10" s="1"/>
  <c r="N45" i="10" s="1"/>
  <c r="N46" i="10" s="1"/>
  <c r="N47" i="10" s="1"/>
  <c r="N48" i="10" s="1"/>
  <c r="N49" i="10" s="1"/>
  <c r="N50" i="10" s="1"/>
  <c r="M13" i="10"/>
  <c r="N51" i="10" l="1"/>
  <c r="M14" i="10"/>
  <c r="N52" i="10" l="1"/>
  <c r="M15" i="10"/>
  <c r="M16" i="10" l="1"/>
  <c r="M17" i="10" s="1"/>
  <c r="M18" i="10" s="1"/>
  <c r="M19" i="10" s="1"/>
  <c r="M20" i="10" l="1"/>
  <c r="M21" i="10" l="1"/>
  <c r="M22" i="10" l="1"/>
  <c r="M23" i="10" l="1"/>
  <c r="M24" i="10" l="1"/>
  <c r="M25" i="10" l="1"/>
  <c r="M26" i="10" l="1"/>
  <c r="M27" i="10" l="1"/>
  <c r="M28" i="10" l="1"/>
  <c r="M29" i="10" s="1"/>
  <c r="M30" i="10" s="1"/>
  <c r="M31" i="10" l="1"/>
  <c r="M32" i="10" l="1"/>
  <c r="M33" i="10" l="1"/>
  <c r="M34" i="10" l="1"/>
  <c r="M35" i="10" l="1"/>
  <c r="M36" i="10" s="1"/>
  <c r="M37" i="10" l="1"/>
  <c r="M38" i="10" l="1"/>
  <c r="M39" i="10" l="1"/>
  <c r="M40" i="10" l="1"/>
  <c r="M41" i="10" l="1"/>
  <c r="M42" i="10" l="1"/>
  <c r="M43" i="10" l="1"/>
  <c r="M44" i="10" l="1"/>
  <c r="M45" i="10" s="1"/>
  <c r="M46" i="10" l="1"/>
  <c r="M47" i="10" l="1"/>
  <c r="M48" i="10" l="1"/>
  <c r="M49" i="10" l="1"/>
  <c r="M50" i="10" l="1"/>
  <c r="M51" i="10" s="1"/>
  <c r="M52" i="10" s="1"/>
  <c r="M53" i="10" l="1"/>
  <c r="M54" i="10" l="1"/>
  <c r="M55" i="10" s="1"/>
  <c r="M56" i="10" s="1"/>
  <c r="M57" i="10" s="1"/>
  <c r="M58" i="10" s="1"/>
  <c r="M59" i="10" s="1"/>
  <c r="M60" i="10" s="1"/>
  <c r="O10" i="10" l="1"/>
  <c r="O11" i="10" s="1"/>
  <c r="O12" i="10" s="1"/>
  <c r="P10" i="10"/>
  <c r="P11" i="10" s="1"/>
  <c r="Q10" i="10"/>
  <c r="R10" i="10"/>
  <c r="R11" i="10" s="1"/>
  <c r="R12" i="10" s="1"/>
  <c r="R13" i="10" s="1"/>
  <c r="R14" i="10" s="1"/>
  <c r="R15" i="10" s="1"/>
  <c r="R16" i="10" s="1"/>
  <c r="R17" i="10" s="1"/>
  <c r="R18" i="10" s="1"/>
  <c r="R19" i="10" s="1"/>
  <c r="R20" i="10" s="1"/>
  <c r="R21" i="10" s="1"/>
  <c r="R22" i="10" s="1"/>
  <c r="R23" i="10" s="1"/>
  <c r="R24" i="10" s="1"/>
  <c r="R25" i="10" s="1"/>
  <c r="R26" i="10" s="1"/>
  <c r="R27" i="10" s="1"/>
  <c r="R28" i="10" s="1"/>
  <c r="R29" i="10" s="1"/>
  <c r="R30" i="10" s="1"/>
  <c r="R31" i="10" s="1"/>
  <c r="R32" i="10" s="1"/>
  <c r="R33" i="10" s="1"/>
  <c r="R34" i="10" s="1"/>
  <c r="R35" i="10" s="1"/>
  <c r="S10" i="10"/>
  <c r="S11" i="10" s="1"/>
  <c r="S12" i="10" s="1"/>
  <c r="S13" i="10" s="1"/>
  <c r="S14" i="10" s="1"/>
  <c r="S15" i="10" s="1"/>
  <c r="S16" i="10" s="1"/>
  <c r="S17" i="10" s="1"/>
  <c r="S18" i="10" s="1"/>
  <c r="S19" i="10" s="1"/>
  <c r="S20" i="10" s="1"/>
  <c r="S21" i="10" s="1"/>
  <c r="S22" i="10" s="1"/>
  <c r="S23" i="10" s="1"/>
  <c r="S24" i="10" s="1"/>
  <c r="S25" i="10" s="1"/>
  <c r="S26" i="10" s="1"/>
  <c r="S27" i="10" s="1"/>
  <c r="S28" i="10" s="1"/>
  <c r="S29" i="10" s="1"/>
  <c r="S30" i="10" s="1"/>
  <c r="S31" i="10" s="1"/>
  <c r="S32" i="10" s="1"/>
  <c r="S33" i="10" s="1"/>
  <c r="S34" i="10" s="1"/>
  <c r="S35" i="10" s="1"/>
  <c r="T10" i="10"/>
  <c r="T11" i="10" s="1"/>
  <c r="T12" i="10" s="1"/>
  <c r="T13" i="10" s="1"/>
  <c r="T14" i="10" s="1"/>
  <c r="T15" i="10" s="1"/>
  <c r="T16" i="10" s="1"/>
  <c r="T17" i="10" s="1"/>
  <c r="T18" i="10" s="1"/>
  <c r="T19" i="10" s="1"/>
  <c r="T20" i="10" s="1"/>
  <c r="T21" i="10" s="1"/>
  <c r="T22" i="10" s="1"/>
  <c r="T23" i="10" s="1"/>
  <c r="T24" i="10" s="1"/>
  <c r="T25" i="10" s="1"/>
  <c r="T26" i="10" s="1"/>
  <c r="T27" i="10" s="1"/>
  <c r="T28" i="10" s="1"/>
  <c r="T29" i="10" s="1"/>
  <c r="T30" i="10" s="1"/>
  <c r="T31" i="10" s="1"/>
  <c r="T32" i="10" s="1"/>
  <c r="T33" i="10" s="1"/>
  <c r="T34" i="10" s="1"/>
  <c r="T35" i="10" s="1"/>
  <c r="T36" i="10" l="1"/>
  <c r="T37" i="10" s="1"/>
  <c r="T38" i="10" s="1"/>
  <c r="T39" i="10" s="1"/>
  <c r="T40" i="10" s="1"/>
  <c r="T41" i="10" s="1"/>
  <c r="T42" i="10" s="1"/>
  <c r="T43" i="10" s="1"/>
  <c r="T44" i="10" s="1"/>
  <c r="T45" i="10" s="1"/>
  <c r="T46" i="10" s="1"/>
  <c r="T47" i="10" s="1"/>
  <c r="T48" i="10" s="1"/>
  <c r="T49" i="10" s="1"/>
  <c r="T50" i="10" s="1"/>
  <c r="S36" i="10"/>
  <c r="S37" i="10" s="1"/>
  <c r="S38" i="10" s="1"/>
  <c r="S39" i="10" s="1"/>
  <c r="S40" i="10" s="1"/>
  <c r="S41" i="10" s="1"/>
  <c r="S42" i="10" s="1"/>
  <c r="S43" i="10" s="1"/>
  <c r="S44" i="10" s="1"/>
  <c r="S45" i="10" s="1"/>
  <c r="S46" i="10" s="1"/>
  <c r="S47" i="10" s="1"/>
  <c r="S48" i="10" s="1"/>
  <c r="S49" i="10" s="1"/>
  <c r="S50" i="10" s="1"/>
  <c r="R36" i="10"/>
  <c r="R37" i="10" s="1"/>
  <c r="R38" i="10" s="1"/>
  <c r="R39" i="10" s="1"/>
  <c r="R40" i="10" s="1"/>
  <c r="R41" i="10" s="1"/>
  <c r="R42" i="10" s="1"/>
  <c r="R43" i="10" s="1"/>
  <c r="R44" i="10" s="1"/>
  <c r="R45" i="10" s="1"/>
  <c r="R46" i="10" s="1"/>
  <c r="R47" i="10" s="1"/>
  <c r="R48" i="10" s="1"/>
  <c r="R49" i="10" s="1"/>
  <c r="R50" i="10" s="1"/>
  <c r="P12" i="10"/>
  <c r="P13" i="10" s="1"/>
  <c r="P14" i="10" s="1"/>
  <c r="P15" i="10" s="1"/>
  <c r="P16" i="10" s="1"/>
  <c r="P17" i="10" s="1"/>
  <c r="P18" i="10" s="1"/>
  <c r="P19" i="10" s="1"/>
  <c r="P20" i="10" s="1"/>
  <c r="P21" i="10" s="1"/>
  <c r="P22" i="10" s="1"/>
  <c r="P23" i="10" s="1"/>
  <c r="P24" i="10" s="1"/>
  <c r="P25" i="10" s="1"/>
  <c r="P26" i="10" s="1"/>
  <c r="P27" i="10" s="1"/>
  <c r="P28" i="10" s="1"/>
  <c r="P29" i="10" s="1"/>
  <c r="P30" i="10" s="1"/>
  <c r="P31" i="10" s="1"/>
  <c r="P32" i="10" s="1"/>
  <c r="P33" i="10" s="1"/>
  <c r="P34" i="10" s="1"/>
  <c r="P35" i="10" s="1"/>
  <c r="O13" i="10"/>
  <c r="U10" i="10"/>
  <c r="Q11" i="10"/>
  <c r="Q12" i="10" s="1"/>
  <c r="Q13" i="10" s="1"/>
  <c r="Q14" i="10" s="1"/>
  <c r="Q15" i="10" s="1"/>
  <c r="Q16" i="10" s="1"/>
  <c r="Q17" i="10" s="1"/>
  <c r="Q18" i="10" s="1"/>
  <c r="Q19" i="10" s="1"/>
  <c r="Q20" i="10" s="1"/>
  <c r="Q21" i="10" s="1"/>
  <c r="Q22" i="10" s="1"/>
  <c r="Q23" i="10" s="1"/>
  <c r="Q24" i="10" s="1"/>
  <c r="Q25" i="10" s="1"/>
  <c r="Q26" i="10" s="1"/>
  <c r="Q27" i="10" s="1"/>
  <c r="Q28" i="10" s="1"/>
  <c r="Q29" i="10" s="1"/>
  <c r="Q30" i="10" s="1"/>
  <c r="Q31" i="10" s="1"/>
  <c r="Q32" i="10" s="1"/>
  <c r="Q33" i="10" s="1"/>
  <c r="Q34" i="10" s="1"/>
  <c r="Q35" i="10" s="1"/>
  <c r="R51" i="10" l="1"/>
  <c r="S51" i="10"/>
  <c r="T51" i="10"/>
  <c r="P36" i="10"/>
  <c r="P37" i="10" s="1"/>
  <c r="P38" i="10" s="1"/>
  <c r="P39" i="10" s="1"/>
  <c r="P40" i="10" s="1"/>
  <c r="P41" i="10" s="1"/>
  <c r="P42" i="10" s="1"/>
  <c r="P43" i="10" s="1"/>
  <c r="P44" i="10" s="1"/>
  <c r="P45" i="10" s="1"/>
  <c r="P46" i="10" s="1"/>
  <c r="P47" i="10" s="1"/>
  <c r="P48" i="10" s="1"/>
  <c r="P49" i="10" s="1"/>
  <c r="P50" i="10" s="1"/>
  <c r="Q36" i="10"/>
  <c r="Q37" i="10" s="1"/>
  <c r="Q38" i="10" s="1"/>
  <c r="Q39" i="10" s="1"/>
  <c r="Q40" i="10" s="1"/>
  <c r="Q41" i="10" s="1"/>
  <c r="Q42" i="10" s="1"/>
  <c r="Q43" i="10" s="1"/>
  <c r="Q44" i="10" s="1"/>
  <c r="Q45" i="10" s="1"/>
  <c r="Q46" i="10" s="1"/>
  <c r="Q47" i="10" s="1"/>
  <c r="Q48" i="10" s="1"/>
  <c r="Q49" i="10" s="1"/>
  <c r="Q50" i="10" s="1"/>
  <c r="O14" i="10"/>
  <c r="U13" i="10"/>
  <c r="U11" i="10"/>
  <c r="U12" i="10"/>
  <c r="T52" i="10" l="1"/>
  <c r="S52" i="10"/>
  <c r="R52" i="10"/>
  <c r="Q51" i="10"/>
  <c r="P51" i="10"/>
  <c r="O15" i="10"/>
  <c r="U14" i="10"/>
  <c r="Q52" i="10" l="1"/>
  <c r="P52" i="10"/>
  <c r="O16" i="10"/>
  <c r="U15" i="10"/>
  <c r="O17" i="10" l="1"/>
  <c r="U16" i="10"/>
  <c r="O18" i="10" l="1"/>
  <c r="U17" i="10"/>
  <c r="O19" i="10" l="1"/>
  <c r="U18" i="10"/>
  <c r="U19" i="10" l="1"/>
  <c r="O20" i="10"/>
  <c r="O21" i="10" l="1"/>
  <c r="U20" i="10"/>
  <c r="U21" i="10" l="1"/>
  <c r="O22" i="10"/>
  <c r="O23" i="10" l="1"/>
  <c r="U22" i="10"/>
  <c r="O24" i="10" l="1"/>
  <c r="U23" i="10"/>
  <c r="U24" i="10" l="1"/>
  <c r="O25" i="10"/>
  <c r="O26" i="10" l="1"/>
  <c r="U25" i="10"/>
  <c r="O27" i="10" l="1"/>
  <c r="U26" i="10"/>
  <c r="U27" i="10" l="1"/>
  <c r="O28" i="10"/>
  <c r="O29" i="10" l="1"/>
  <c r="U28" i="10"/>
  <c r="O30" i="10" l="1"/>
  <c r="U29" i="10"/>
  <c r="U30" i="10" l="1"/>
  <c r="O31" i="10"/>
  <c r="U31" i="10" l="1"/>
  <c r="O32" i="10"/>
  <c r="U32" i="10" l="1"/>
  <c r="O33" i="10"/>
  <c r="U33" i="10" l="1"/>
  <c r="O34" i="10"/>
  <c r="O35" i="10" l="1"/>
  <c r="O36" i="10" s="1"/>
  <c r="U36" i="10" s="1"/>
  <c r="U34" i="10"/>
  <c r="O37" i="10" l="1"/>
  <c r="U35" i="10"/>
  <c r="O38" i="10" l="1"/>
  <c r="U37" i="10"/>
  <c r="U38" i="10" l="1"/>
  <c r="O39" i="10"/>
  <c r="O40" i="10" l="1"/>
  <c r="U39" i="10"/>
  <c r="O41" i="10" l="1"/>
  <c r="U40" i="10"/>
  <c r="O42" i="10" l="1"/>
  <c r="U41" i="10"/>
  <c r="O43" i="10" l="1"/>
  <c r="U42" i="10"/>
  <c r="O44" i="10" l="1"/>
  <c r="U44" i="10" s="1"/>
  <c r="U43" i="10"/>
  <c r="O45" i="10" l="1"/>
  <c r="O46" i="10" s="1"/>
  <c r="U45" i="10" l="1"/>
  <c r="O47" i="10"/>
  <c r="U46" i="10"/>
  <c r="O48" i="10" l="1"/>
  <c r="O49" i="10" s="1"/>
  <c r="U47" i="10"/>
  <c r="U49" i="10" l="1"/>
  <c r="O50" i="10"/>
  <c r="O51" i="10" s="1"/>
  <c r="U48" i="10"/>
  <c r="U51" i="10" l="1"/>
  <c r="O52" i="10"/>
  <c r="U52" i="10" s="1"/>
  <c r="U50" i="10"/>
  <c r="M61" i="10"/>
  <c r="M62" i="10" s="1"/>
  <c r="M63" i="10" l="1"/>
  <c r="O53" i="10" l="1"/>
  <c r="M64" i="10"/>
  <c r="O54" i="10" l="1"/>
  <c r="M65" i="10"/>
  <c r="M66" i="10" l="1"/>
  <c r="M67" i="10" l="1"/>
  <c r="M68" i="10" s="1"/>
  <c r="M69" i="10" l="1"/>
  <c r="M70" i="10" l="1"/>
  <c r="O55" i="10" l="1"/>
  <c r="O56" i="10" l="1"/>
  <c r="O57" i="10" l="1"/>
  <c r="O58" i="10" l="1"/>
  <c r="O59" i="10" l="1"/>
  <c r="O60" i="10" s="1"/>
  <c r="O61" i="10" l="1"/>
  <c r="O62" i="10" l="1"/>
  <c r="O63" i="10" l="1"/>
  <c r="O64" i="10" l="1"/>
  <c r="O65" i="10" l="1"/>
  <c r="O66" i="10" l="1"/>
  <c r="O67" i="10" l="1"/>
  <c r="O68" i="10" l="1"/>
  <c r="O69" i="10" l="1"/>
  <c r="O70" i="10" l="1"/>
  <c r="O71" i="10" l="1"/>
  <c r="O72" i="10" s="1"/>
  <c r="O73" i="10" s="1"/>
  <c r="M71" i="10" l="1"/>
  <c r="M72" i="10" s="1"/>
  <c r="M73" i="10" l="1"/>
  <c r="M74" i="10" l="1"/>
  <c r="M75" i="10" s="1"/>
  <c r="O74" i="10"/>
  <c r="O75" i="10" s="1"/>
  <c r="O76" i="10" l="1"/>
  <c r="O77" i="10" s="1"/>
  <c r="M76" i="10"/>
  <c r="M77" i="10" l="1"/>
  <c r="M78" i="10" l="1"/>
  <c r="M79" i="10" s="1"/>
  <c r="M80" i="10" s="1"/>
  <c r="M81" i="10" l="1"/>
  <c r="M82" i="10" l="1"/>
  <c r="M83" i="10" s="1"/>
  <c r="M84" i="10" l="1"/>
  <c r="M86" i="10" l="1"/>
  <c r="O78" i="10"/>
  <c r="O79" i="10" s="1"/>
  <c r="O80" i="10" s="1"/>
  <c r="O81" i="10" s="1"/>
  <c r="O82" i="10" s="1"/>
  <c r="O83" i="10" s="1"/>
  <c r="O84" i="10" s="1"/>
  <c r="N53" i="10" l="1"/>
  <c r="N54" i="10" s="1"/>
  <c r="P53" i="10"/>
  <c r="P54" i="10" s="1"/>
  <c r="P55" i="10" s="1"/>
  <c r="P56" i="10" s="1"/>
  <c r="P57" i="10" s="1"/>
  <c r="P58" i="10" s="1"/>
  <c r="P59" i="10" s="1"/>
  <c r="P60" i="10" s="1"/>
  <c r="P61" i="10" s="1"/>
  <c r="P62" i="10" s="1"/>
  <c r="P63" i="10" s="1"/>
  <c r="P64" i="10" s="1"/>
  <c r="P65" i="10" s="1"/>
  <c r="P66" i="10" s="1"/>
  <c r="P67" i="10" s="1"/>
  <c r="P68" i="10" s="1"/>
  <c r="P69" i="10" s="1"/>
  <c r="P70" i="10" s="1"/>
  <c r="P71" i="10" s="1"/>
  <c r="P72" i="10" s="1"/>
  <c r="P73" i="10" s="1"/>
  <c r="P74" i="10" s="1"/>
  <c r="P75" i="10" s="1"/>
  <c r="P76" i="10" s="1"/>
  <c r="P77" i="10" s="1"/>
  <c r="P78" i="10" s="1"/>
  <c r="P79" i="10" s="1"/>
  <c r="P80" i="10" s="1"/>
  <c r="P81" i="10" s="1"/>
  <c r="P82" i="10" s="1"/>
  <c r="P83" i="10" s="1"/>
  <c r="P84" i="10" s="1"/>
  <c r="Q53" i="10"/>
  <c r="Q54" i="10" s="1"/>
  <c r="Q55" i="10" s="1"/>
  <c r="Q56" i="10" s="1"/>
  <c r="Q57" i="10" s="1"/>
  <c r="Q58" i="10" s="1"/>
  <c r="Q59" i="10" s="1"/>
  <c r="Q60" i="10" s="1"/>
  <c r="Q61" i="10" s="1"/>
  <c r="Q62" i="10" s="1"/>
  <c r="Q63" i="10" s="1"/>
  <c r="Q64" i="10" s="1"/>
  <c r="Q65" i="10" s="1"/>
  <c r="Q66" i="10" s="1"/>
  <c r="Q67" i="10" s="1"/>
  <c r="Q68" i="10" s="1"/>
  <c r="Q69" i="10" s="1"/>
  <c r="Q70" i="10" s="1"/>
  <c r="Q71" i="10" s="1"/>
  <c r="Q72" i="10" s="1"/>
  <c r="Q73" i="10" s="1"/>
  <c r="Q74" i="10" s="1"/>
  <c r="Q75" i="10" s="1"/>
  <c r="Q76" i="10" s="1"/>
  <c r="Q77" i="10" s="1"/>
  <c r="Q78" i="10" s="1"/>
  <c r="Q79" i="10" s="1"/>
  <c r="Q80" i="10" s="1"/>
  <c r="Q81" i="10" s="1"/>
  <c r="Q82" i="10" s="1"/>
  <c r="Q83" i="10" s="1"/>
  <c r="Q84" i="10" s="1"/>
  <c r="R53" i="10"/>
  <c r="R54" i="10" s="1"/>
  <c r="R55" i="10" s="1"/>
  <c r="R56" i="10" s="1"/>
  <c r="R57" i="10" s="1"/>
  <c r="R58" i="10" s="1"/>
  <c r="R59" i="10" s="1"/>
  <c r="R60" i="10" s="1"/>
  <c r="R61" i="10" s="1"/>
  <c r="R62" i="10" s="1"/>
  <c r="R63" i="10" s="1"/>
  <c r="R64" i="10" s="1"/>
  <c r="R65" i="10" s="1"/>
  <c r="R66" i="10" s="1"/>
  <c r="R67" i="10" s="1"/>
  <c r="R68" i="10" s="1"/>
  <c r="R69" i="10" s="1"/>
  <c r="R70" i="10" s="1"/>
  <c r="R71" i="10" s="1"/>
  <c r="R72" i="10" s="1"/>
  <c r="R73" i="10" s="1"/>
  <c r="R74" i="10" s="1"/>
  <c r="R75" i="10" s="1"/>
  <c r="R76" i="10" s="1"/>
  <c r="R77" i="10" s="1"/>
  <c r="R78" i="10" s="1"/>
  <c r="R79" i="10" s="1"/>
  <c r="R80" i="10" s="1"/>
  <c r="R81" i="10" s="1"/>
  <c r="R82" i="10" s="1"/>
  <c r="R83" i="10" s="1"/>
  <c r="R84" i="10" s="1"/>
  <c r="S53" i="10"/>
  <c r="S54" i="10" s="1"/>
  <c r="S55" i="10" s="1"/>
  <c r="S56" i="10" s="1"/>
  <c r="S57" i="10" s="1"/>
  <c r="S58" i="10" s="1"/>
  <c r="S59" i="10" s="1"/>
  <c r="S60" i="10" s="1"/>
  <c r="S61" i="10" s="1"/>
  <c r="S62" i="10" s="1"/>
  <c r="S63" i="10" s="1"/>
  <c r="S64" i="10" s="1"/>
  <c r="S65" i="10" s="1"/>
  <c r="S66" i="10" s="1"/>
  <c r="S67" i="10" s="1"/>
  <c r="S68" i="10" s="1"/>
  <c r="S69" i="10" s="1"/>
  <c r="S70" i="10" s="1"/>
  <c r="S71" i="10" s="1"/>
  <c r="S72" i="10" s="1"/>
  <c r="S73" i="10" s="1"/>
  <c r="S74" i="10" s="1"/>
  <c r="S75" i="10" s="1"/>
  <c r="S76" i="10" s="1"/>
  <c r="S77" i="10" s="1"/>
  <c r="S78" i="10" s="1"/>
  <c r="S79" i="10" s="1"/>
  <c r="S80" i="10" s="1"/>
  <c r="S81" i="10" s="1"/>
  <c r="S82" i="10" s="1"/>
  <c r="S83" i="10" s="1"/>
  <c r="S84" i="10" s="1"/>
  <c r="T53" i="10"/>
  <c r="T54" i="10" s="1"/>
  <c r="T55" i="10" s="1"/>
  <c r="T56" i="10" s="1"/>
  <c r="T57" i="10" s="1"/>
  <c r="T58" i="10" s="1"/>
  <c r="T59" i="10" s="1"/>
  <c r="T60" i="10" s="1"/>
  <c r="T61" i="10" s="1"/>
  <c r="T62" i="10" s="1"/>
  <c r="T63" i="10" s="1"/>
  <c r="T64" i="10" s="1"/>
  <c r="T65" i="10" s="1"/>
  <c r="T66" i="10" s="1"/>
  <c r="T67" i="10" s="1"/>
  <c r="T68" i="10" s="1"/>
  <c r="T69" i="10" s="1"/>
  <c r="T70" i="10" s="1"/>
  <c r="T71" i="10" s="1"/>
  <c r="T72" i="10" s="1"/>
  <c r="T73" i="10" s="1"/>
  <c r="T74" i="10" s="1"/>
  <c r="T75" i="10" s="1"/>
  <c r="T76" i="10" s="1"/>
  <c r="T77" i="10" s="1"/>
  <c r="T78" i="10" s="1"/>
  <c r="T79" i="10" s="1"/>
  <c r="T80" i="10" s="1"/>
  <c r="T81" i="10" s="1"/>
  <c r="T82" i="10" s="1"/>
  <c r="T83" i="10" s="1"/>
  <c r="T84" i="10" s="1"/>
  <c r="U53" i="10" l="1"/>
  <c r="M88" i="10"/>
  <c r="N55" i="10"/>
  <c r="U54" i="10"/>
  <c r="U55" i="10" l="1"/>
  <c r="N56" i="10"/>
  <c r="U56" i="10" l="1"/>
  <c r="N57" i="10"/>
  <c r="U57" i="10" l="1"/>
  <c r="N58" i="10"/>
  <c r="U58" i="10" l="1"/>
  <c r="N59" i="10"/>
  <c r="N60" i="10" l="1"/>
  <c r="U59" i="10"/>
  <c r="N61" i="10" l="1"/>
  <c r="U60" i="10"/>
  <c r="N62" i="10" l="1"/>
  <c r="U61" i="10"/>
  <c r="N63" i="10" l="1"/>
  <c r="U62" i="10"/>
  <c r="N64" i="10" l="1"/>
  <c r="U63" i="10"/>
  <c r="U64" i="10" l="1"/>
  <c r="N65" i="10"/>
  <c r="U65" i="10" l="1"/>
  <c r="N66" i="10"/>
  <c r="U66" i="10" l="1"/>
  <c r="N67" i="10"/>
  <c r="N68" i="10" l="1"/>
  <c r="U67" i="10"/>
  <c r="N69" i="10" l="1"/>
  <c r="U68" i="10"/>
  <c r="U69" i="10" l="1"/>
  <c r="N70" i="10"/>
  <c r="N71" i="10" l="1"/>
  <c r="N72" i="10" s="1"/>
  <c r="N73" i="10" s="1"/>
  <c r="U70" i="10"/>
  <c r="U73" i="10" l="1"/>
  <c r="N74" i="10"/>
  <c r="U74" i="10" l="1"/>
  <c r="N75" i="10"/>
  <c r="N76" i="10" l="1"/>
  <c r="U75" i="10"/>
  <c r="N77" i="10" l="1"/>
  <c r="U76" i="10"/>
  <c r="N78" i="10" l="1"/>
  <c r="U77" i="10"/>
  <c r="N79" i="10" l="1"/>
  <c r="U78" i="10"/>
  <c r="U79" i="10" l="1"/>
  <c r="N80" i="10"/>
  <c r="U80" i="10" l="1"/>
  <c r="N81" i="10"/>
  <c r="U81" i="10" l="1"/>
  <c r="N82" i="10"/>
  <c r="U82" i="10" l="1"/>
  <c r="N83" i="10"/>
  <c r="N84" i="10" l="1"/>
  <c r="U83" i="10"/>
  <c r="M87" i="10" l="1"/>
  <c r="U84" i="10"/>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tc={1CB098A3-10A5-4320-B9FE-1DE03032862D}</author>
  </authors>
  <commentList>
    <comment ref="A88" authorId="0" shapeId="0" xr:uid="{1CB098A3-10A5-4320-B9FE-1DE03032862D}">
      <text>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★今後の改善点
・会計内のお金の移動を集計に含まない方法の検討。（繰越金を含まない収支と差額を出すため。）
・コミュニティコードを細分化し、コミュニティ補助金対象項目を抽出する。（「Co」列、「集計」列の削除。）
</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tc={9EEE9A31-E8E4-4221-A352-624619B40579}</author>
  </authors>
  <commentList>
    <comment ref="A92" authorId="0" shapeId="0" xr:uid="{9EEE9A31-E8E4-4221-A352-624619B40579}">
      <text>
        <t xml:space="preserve">[スレッド化されたコメント]
使用している Excel のバージョンでは、このスレッド化されたコメントを表示できますが、新しいバージョンの Excel でファイルを開いた場合はコメントに対する編集がすべて削除されます。詳細: https://go.microsoft.com/fwlink/?linkid=870924
コメント:
    ★今後の改善点
・会計内のお金の移動を集計に含まない方法の検討。（繰越金を含まない収支と差額を出すため。）
・コミュニティコードを細分化し、コミュニティ補助金対象項目を抽出する。（「Co」列、「集計」列の削除。）
</t>
      </text>
    </comment>
  </commentList>
</comments>
</file>

<file path=xl/sharedStrings.xml><?xml version="1.0" encoding="utf-8"?>
<sst xmlns="http://schemas.openxmlformats.org/spreadsheetml/2006/main" count="2338" uniqueCount="939">
  <si>
    <t>年</t>
    <rPh sb="0" eb="1">
      <t>ネン</t>
    </rPh>
    <phoneticPr fontId="2"/>
  </si>
  <si>
    <t>月</t>
    <rPh sb="0" eb="1">
      <t>ツキ</t>
    </rPh>
    <phoneticPr fontId="2"/>
  </si>
  <si>
    <t>日</t>
    <rPh sb="0" eb="1">
      <t>ヒ</t>
    </rPh>
    <phoneticPr fontId="2"/>
  </si>
  <si>
    <t>　摘　　　　要</t>
    <rPh sb="1" eb="2">
      <t>チャク</t>
    </rPh>
    <rPh sb="6" eb="7">
      <t>ヨウ</t>
    </rPh>
    <phoneticPr fontId="2"/>
  </si>
  <si>
    <t>ｺｰﾄﾞ</t>
    <phoneticPr fontId="2"/>
  </si>
  <si>
    <t>相手先</t>
    <rPh sb="0" eb="3">
      <t>アイテサキ</t>
    </rPh>
    <phoneticPr fontId="2"/>
  </si>
  <si>
    <t>No.</t>
    <phoneticPr fontId="2"/>
  </si>
  <si>
    <t>支出金額</t>
    <rPh sb="0" eb="2">
      <t>シシュツ</t>
    </rPh>
    <rPh sb="2" eb="4">
      <t>キンガク</t>
    </rPh>
    <phoneticPr fontId="2"/>
  </si>
  <si>
    <t>合　　計</t>
    <rPh sb="0" eb="1">
      <t>ゴウ</t>
    </rPh>
    <rPh sb="3" eb="4">
      <t>ケイ</t>
    </rPh>
    <phoneticPr fontId="2"/>
  </si>
  <si>
    <t>収入金額</t>
    <rPh sb="0" eb="2">
      <t>シュウニュウ</t>
    </rPh>
    <rPh sb="2" eb="4">
      <t>キンガク</t>
    </rPh>
    <phoneticPr fontId="2"/>
  </si>
  <si>
    <t>残高</t>
    <rPh sb="0" eb="2">
      <t>ザンダカ</t>
    </rPh>
    <phoneticPr fontId="2"/>
  </si>
  <si>
    <t>前年度繰越金</t>
    <rPh sb="0" eb="3">
      <t>ゼンネンド</t>
    </rPh>
    <rPh sb="3" eb="5">
      <t>クリコシ</t>
    </rPh>
    <rPh sb="5" eb="6">
      <t>キン</t>
    </rPh>
    <phoneticPr fontId="2"/>
  </si>
  <si>
    <t>*1</t>
    <phoneticPr fontId="2"/>
  </si>
  <si>
    <t>町内会計</t>
    <rPh sb="0" eb="2">
      <t>チョウナイ</t>
    </rPh>
    <rPh sb="2" eb="4">
      <t>カイケイ</t>
    </rPh>
    <phoneticPr fontId="2"/>
  </si>
  <si>
    <t>決算利息　9月分</t>
    <rPh sb="0" eb="2">
      <t>ケッサン</t>
    </rPh>
    <rPh sb="2" eb="4">
      <t>リソク</t>
    </rPh>
    <rPh sb="6" eb="7">
      <t>ツキ</t>
    </rPh>
    <rPh sb="7" eb="8">
      <t>フン</t>
    </rPh>
    <phoneticPr fontId="2"/>
  </si>
  <si>
    <t>*5</t>
    <phoneticPr fontId="2"/>
  </si>
  <si>
    <t>湘南信金</t>
    <rPh sb="0" eb="2">
      <t>ショウナン</t>
    </rPh>
    <rPh sb="2" eb="4">
      <t>シンキン</t>
    </rPh>
    <phoneticPr fontId="2"/>
  </si>
  <si>
    <t>決算利息　3月分</t>
    <rPh sb="0" eb="2">
      <t>ケッサン</t>
    </rPh>
    <rPh sb="2" eb="4">
      <t>リソク</t>
    </rPh>
    <rPh sb="6" eb="7">
      <t>ツキ</t>
    </rPh>
    <rPh sb="7" eb="8">
      <t>フン</t>
    </rPh>
    <phoneticPr fontId="2"/>
  </si>
  <si>
    <t>（伝票番号順）</t>
    <rPh sb="1" eb="3">
      <t>デンピョウ</t>
    </rPh>
    <rPh sb="3" eb="5">
      <t>バンゴウ</t>
    </rPh>
    <rPh sb="5" eb="6">
      <t>ジュン</t>
    </rPh>
    <phoneticPr fontId="2"/>
  </si>
  <si>
    <t>A</t>
    <phoneticPr fontId="2"/>
  </si>
  <si>
    <t>B</t>
    <phoneticPr fontId="2"/>
  </si>
  <si>
    <t>C</t>
    <phoneticPr fontId="2"/>
  </si>
  <si>
    <t>通帳残高</t>
    <rPh sb="0" eb="2">
      <t>ツウチョウ</t>
    </rPh>
    <rPh sb="2" eb="4">
      <t>ザンダカ</t>
    </rPh>
    <phoneticPr fontId="2"/>
  </si>
  <si>
    <t>現金残高</t>
    <rPh sb="0" eb="2">
      <t>ゲンキン</t>
    </rPh>
    <rPh sb="2" eb="4">
      <t>ザンダカ</t>
    </rPh>
    <phoneticPr fontId="2"/>
  </si>
  <si>
    <t>計</t>
    <rPh sb="0" eb="1">
      <t>ケイ</t>
    </rPh>
    <phoneticPr fontId="2"/>
  </si>
  <si>
    <t>（R01.08.07時点）</t>
    <phoneticPr fontId="2"/>
  </si>
  <si>
    <t>（コード順）</t>
    <rPh sb="4" eb="5">
      <t>ジュン</t>
    </rPh>
    <phoneticPr fontId="2"/>
  </si>
  <si>
    <t>前年度繰越金（預金）</t>
    <rPh sb="0" eb="3">
      <t>ゼンネンド</t>
    </rPh>
    <rPh sb="3" eb="5">
      <t>クリコシ</t>
    </rPh>
    <rPh sb="5" eb="6">
      <t>キン</t>
    </rPh>
    <rPh sb="7" eb="9">
      <t xml:space="preserve">ヨキン </t>
    </rPh>
    <phoneticPr fontId="2"/>
  </si>
  <si>
    <t>前年度繰越金（現金）</t>
    <rPh sb="0" eb="3">
      <t>ゼンネンド</t>
    </rPh>
    <rPh sb="3" eb="5">
      <t>クリコシ</t>
    </rPh>
    <rPh sb="5" eb="6">
      <t>キン</t>
    </rPh>
    <rPh sb="7" eb="9">
      <t>ゲンキン</t>
    </rPh>
    <phoneticPr fontId="2"/>
  </si>
  <si>
    <r>
      <t>令和５年度　駒寄町内会　祭礼会計出納簿　</t>
    </r>
    <r>
      <rPr>
        <b/>
        <sz val="10"/>
        <rFont val="ＭＳ Ｐゴシック"/>
        <family val="2"/>
        <charset val="128"/>
        <scheme val="minor"/>
      </rPr>
      <t>(令和５年４月１日～令和６年３月３１日)</t>
    </r>
    <rPh sb="0" eb="1">
      <t>レイ</t>
    </rPh>
    <rPh sb="1" eb="2">
      <t>ワ</t>
    </rPh>
    <rPh sb="3" eb="5">
      <t>ネンド</t>
    </rPh>
    <rPh sb="5" eb="7">
      <t>ヘイネンド</t>
    </rPh>
    <rPh sb="6" eb="7">
      <t>コマ</t>
    </rPh>
    <rPh sb="7" eb="8">
      <t>ヨ</t>
    </rPh>
    <rPh sb="8" eb="10">
      <t>チョウナイ</t>
    </rPh>
    <rPh sb="10" eb="11">
      <t>カイ</t>
    </rPh>
    <rPh sb="12" eb="14">
      <t>サイレイ</t>
    </rPh>
    <rPh sb="14" eb="16">
      <t>カイケイ</t>
    </rPh>
    <rPh sb="16" eb="19">
      <t>スイトウボ</t>
    </rPh>
    <rPh sb="21" eb="23">
      <t>ヘイセイ</t>
    </rPh>
    <rPh sb="28" eb="29">
      <t>ニチ</t>
    </rPh>
    <rPh sb="30" eb="31">
      <t>レイ</t>
    </rPh>
    <rPh sb="31" eb="32">
      <t>ワ</t>
    </rPh>
    <rPh sb="33" eb="34">
      <t>ネン</t>
    </rPh>
    <rPh sb="35" eb="36">
      <t>ツキ</t>
    </rPh>
    <rPh sb="38" eb="39">
      <t>ニチ</t>
    </rPh>
    <phoneticPr fontId="2"/>
  </si>
  <si>
    <t>ダイソー</t>
    <phoneticPr fontId="2"/>
  </si>
  <si>
    <t>丸野タオル</t>
    <rPh sb="0" eb="2">
      <t>マルノ</t>
    </rPh>
    <phoneticPr fontId="2"/>
  </si>
  <si>
    <t>Amazon</t>
    <phoneticPr fontId="2"/>
  </si>
  <si>
    <t>▼別枠</t>
    <rPh sb="1" eb="3">
      <t>ベツワク</t>
    </rPh>
    <phoneticPr fontId="2"/>
  </si>
  <si>
    <t>←仮払いの立替</t>
    <rPh sb="1" eb="3">
      <t>カリバラ</t>
    </rPh>
    <rPh sb="5" eb="7">
      <t>タテカエ</t>
    </rPh>
    <phoneticPr fontId="2"/>
  </si>
  <si>
    <t>←こっちは一般会計（ジャグの脚）</t>
    <rPh sb="5" eb="7">
      <t>イッパン</t>
    </rPh>
    <rPh sb="7" eb="9">
      <t>カイケイ</t>
    </rPh>
    <rPh sb="14" eb="15">
      <t>アシ</t>
    </rPh>
    <phoneticPr fontId="2"/>
  </si>
  <si>
    <t>←9,900円を除く</t>
    <rPh sb="6" eb="7">
      <t>エン</t>
    </rPh>
    <rPh sb="8" eb="9">
      <t>ノゾ</t>
    </rPh>
    <phoneticPr fontId="2"/>
  </si>
  <si>
    <t>橋本立替 7/9 返金済（280,216円）9,900円は別途一般会計から返金する。</t>
    <rPh sb="9" eb="11">
      <t>ヘンキン</t>
    </rPh>
    <rPh sb="11" eb="12">
      <t>スミ</t>
    </rPh>
    <rPh sb="20" eb="21">
      <t>エン</t>
    </rPh>
    <rPh sb="27" eb="28">
      <t>エン</t>
    </rPh>
    <rPh sb="29" eb="31">
      <t>ベット</t>
    </rPh>
    <rPh sb="31" eb="33">
      <t>イッパン</t>
    </rPh>
    <rPh sb="33" eb="35">
      <t>カイケイ</t>
    </rPh>
    <rPh sb="37" eb="39">
      <t>ヘンキン</t>
    </rPh>
    <phoneticPr fontId="2"/>
  </si>
  <si>
    <t>町内寄付</t>
    <rPh sb="0" eb="2">
      <t>チョウナイ</t>
    </rPh>
    <rPh sb="2" eb="4">
      <t>キフ</t>
    </rPh>
    <phoneticPr fontId="2"/>
  </si>
  <si>
    <t>*2</t>
    <phoneticPr fontId="2"/>
  </si>
  <si>
    <t>会員</t>
    <rPh sb="0" eb="2">
      <t>カイイン</t>
    </rPh>
    <phoneticPr fontId="2"/>
  </si>
  <si>
    <t>奉納金</t>
    <rPh sb="0" eb="3">
      <t>ホウノウキン</t>
    </rPh>
    <phoneticPr fontId="2"/>
  </si>
  <si>
    <t>*3</t>
    <phoneticPr fontId="2"/>
  </si>
  <si>
    <t>佐久間均</t>
    <rPh sb="0" eb="3">
      <t>サクマ</t>
    </rPh>
    <rPh sb="3" eb="4">
      <t>ヒトシ</t>
    </rPh>
    <phoneticPr fontId="2"/>
  </si>
  <si>
    <t>佐々木義子</t>
    <rPh sb="0" eb="3">
      <t>ササキ</t>
    </rPh>
    <rPh sb="3" eb="5">
      <t>ヨシコ</t>
    </rPh>
    <phoneticPr fontId="2"/>
  </si>
  <si>
    <t>仮払い</t>
    <rPh sb="0" eb="2">
      <t>カリバラ</t>
    </rPh>
    <phoneticPr fontId="2"/>
  </si>
  <si>
    <t>飲食費</t>
    <rPh sb="0" eb="3">
      <t>インショクヒ</t>
    </rPh>
    <phoneticPr fontId="2"/>
  </si>
  <si>
    <t>いろいろ</t>
    <phoneticPr fontId="2"/>
  </si>
  <si>
    <t>門付</t>
    <rPh sb="0" eb="2">
      <t>カドヅ</t>
    </rPh>
    <phoneticPr fontId="2"/>
  </si>
  <si>
    <t>*4</t>
    <phoneticPr fontId="2"/>
  </si>
  <si>
    <t>堀江</t>
    <rPh sb="0" eb="2">
      <t>ホリエ</t>
    </rPh>
    <phoneticPr fontId="2"/>
  </si>
  <si>
    <t>ミートステーション</t>
    <phoneticPr fontId="2"/>
  </si>
  <si>
    <t>タオル：</t>
    <phoneticPr fontId="2"/>
  </si>
  <si>
    <t>堀江：</t>
    <rPh sb="0" eb="2">
      <t>ホリエ</t>
    </rPh>
    <phoneticPr fontId="2"/>
  </si>
  <si>
    <t>▼現金</t>
    <rPh sb="1" eb="3">
      <t>ゲンキン</t>
    </rPh>
    <phoneticPr fontId="2"/>
  </si>
  <si>
    <t>会員（１区１２班）</t>
    <rPh sb="0" eb="2">
      <t>カイイン</t>
    </rPh>
    <rPh sb="4" eb="5">
      <t>ク</t>
    </rPh>
    <rPh sb="7" eb="8">
      <t>ハン</t>
    </rPh>
    <phoneticPr fontId="2"/>
  </si>
  <si>
    <t>封筒①</t>
    <rPh sb="0" eb="2">
      <t>フウトウ</t>
    </rPh>
    <phoneticPr fontId="2"/>
  </si>
  <si>
    <t>封筒②</t>
    <rPh sb="0" eb="2">
      <t>フウトウ</t>
    </rPh>
    <phoneticPr fontId="2"/>
  </si>
  <si>
    <t>缶</t>
    <rPh sb="0" eb="1">
      <t>カン</t>
    </rPh>
    <phoneticPr fontId="2"/>
  </si>
  <si>
    <t>封筒③門付け</t>
    <rPh sb="0" eb="2">
      <t>フウトウ</t>
    </rPh>
    <rPh sb="3" eb="5">
      <t>カドヅ</t>
    </rPh>
    <phoneticPr fontId="2"/>
  </si>
  <si>
    <t>上記合計：</t>
    <rPh sb="0" eb="2">
      <t>ジョウキ</t>
    </rPh>
    <rPh sb="2" eb="4">
      <t>ゴウケイ</t>
    </rPh>
    <phoneticPr fontId="2"/>
  </si>
  <si>
    <t>齋藤耕平</t>
    <rPh sb="0" eb="2">
      <t>サイトウ</t>
    </rPh>
    <rPh sb="2" eb="4">
      <t>コウヘイ</t>
    </rPh>
    <phoneticPr fontId="2"/>
  </si>
  <si>
    <t>紺野建設</t>
    <rPh sb="0" eb="2">
      <t>コンノ</t>
    </rPh>
    <rPh sb="2" eb="4">
      <t>ケンセツ</t>
    </rPh>
    <phoneticPr fontId="2"/>
  </si>
  <si>
    <t>嵯峨野</t>
    <rPh sb="0" eb="3">
      <t>サガノ</t>
    </rPh>
    <phoneticPr fontId="2"/>
  </si>
  <si>
    <t>金谷満</t>
    <rPh sb="0" eb="2">
      <t>カナヤ</t>
    </rPh>
    <rPh sb="2" eb="3">
      <t>ミツル</t>
    </rPh>
    <phoneticPr fontId="2"/>
  </si>
  <si>
    <t>緑来茶屋</t>
    <rPh sb="0" eb="1">
      <t>ミドリ</t>
    </rPh>
    <rPh sb="1" eb="2">
      <t>ク</t>
    </rPh>
    <rPh sb="2" eb="4">
      <t>チャヤ</t>
    </rPh>
    <phoneticPr fontId="2"/>
  </si>
  <si>
    <t>セブンイレブン武藤修儀</t>
    <rPh sb="7" eb="9">
      <t>ムトウ</t>
    </rPh>
    <rPh sb="9" eb="10">
      <t>オサム</t>
    </rPh>
    <rPh sb="10" eb="11">
      <t>ギ</t>
    </rPh>
    <phoneticPr fontId="2"/>
  </si>
  <si>
    <t>首藤</t>
    <rPh sb="0" eb="2">
      <t>シュトウ</t>
    </rPh>
    <phoneticPr fontId="2"/>
  </si>
  <si>
    <t>竹の湯</t>
    <rPh sb="0" eb="1">
      <t>タケ</t>
    </rPh>
    <rPh sb="2" eb="3">
      <t>ユ</t>
    </rPh>
    <phoneticPr fontId="2"/>
  </si>
  <si>
    <t>長浦有志一同</t>
    <rPh sb="0" eb="2">
      <t>ナガウラ</t>
    </rPh>
    <rPh sb="2" eb="4">
      <t>ユウシ</t>
    </rPh>
    <rPh sb="4" eb="6">
      <t>イチドウ</t>
    </rPh>
    <phoneticPr fontId="2"/>
  </si>
  <si>
    <t>杉本健一</t>
    <rPh sb="0" eb="2">
      <t>スギモト</t>
    </rPh>
    <rPh sb="2" eb="4">
      <t>ケンイチ</t>
    </rPh>
    <phoneticPr fontId="2"/>
  </si>
  <si>
    <t>おかね</t>
    <phoneticPr fontId="2"/>
  </si>
  <si>
    <t>大野屋</t>
    <rPh sb="0" eb="3">
      <t>オオノヤ</t>
    </rPh>
    <phoneticPr fontId="2"/>
  </si>
  <si>
    <t>新井昭</t>
    <rPh sb="0" eb="2">
      <t>アライ</t>
    </rPh>
    <rPh sb="2" eb="3">
      <t>アキラ</t>
    </rPh>
    <phoneticPr fontId="2"/>
  </si>
  <si>
    <t>田浦神輿愛好会</t>
    <rPh sb="0" eb="2">
      <t>タウラ</t>
    </rPh>
    <rPh sb="2" eb="4">
      <t>ミコシ</t>
    </rPh>
    <rPh sb="4" eb="7">
      <t>アイコウカイ</t>
    </rPh>
    <phoneticPr fontId="2"/>
  </si>
  <si>
    <t>（南郷）西宮哲夫</t>
    <rPh sb="1" eb="3">
      <t>ナンゴウ</t>
    </rPh>
    <rPh sb="4" eb="6">
      <t>ニシミヤ</t>
    </rPh>
    <rPh sb="6" eb="8">
      <t>テツオ</t>
    </rPh>
    <phoneticPr fontId="2"/>
  </si>
  <si>
    <t>田嶋商店　田嶋巌</t>
    <rPh sb="2" eb="4">
      <t>ショウテン</t>
    </rPh>
    <rPh sb="5" eb="7">
      <t>タシマ</t>
    </rPh>
    <rPh sb="7" eb="8">
      <t>イワオ</t>
    </rPh>
    <phoneticPr fontId="2"/>
  </si>
  <si>
    <t>奉納金（少年部へ）</t>
    <rPh sb="0" eb="3">
      <t>ホウノウキン</t>
    </rPh>
    <rPh sb="4" eb="7">
      <t>ショウネンブ</t>
    </rPh>
    <phoneticPr fontId="2"/>
  </si>
  <si>
    <t>皆ヶ作町内会</t>
    <rPh sb="0" eb="3">
      <t>カイガサク</t>
    </rPh>
    <rPh sb="3" eb="6">
      <t>チョウナイカイ</t>
    </rPh>
    <phoneticPr fontId="2"/>
  </si>
  <si>
    <t>片野良二（大矢部）</t>
    <rPh sb="0" eb="2">
      <t>カタノ</t>
    </rPh>
    <rPh sb="2" eb="4">
      <t>リョウジ</t>
    </rPh>
    <rPh sb="5" eb="8">
      <t>オオヤベ</t>
    </rPh>
    <phoneticPr fontId="2"/>
  </si>
  <si>
    <t>（南郷）高橋祐滋</t>
    <rPh sb="1" eb="3">
      <t>ナンゴウ</t>
    </rPh>
    <rPh sb="4" eb="6">
      <t>タカハシ</t>
    </rPh>
    <rPh sb="6" eb="7">
      <t>ユウ</t>
    </rPh>
    <rPh sb="7" eb="8">
      <t>シゲル</t>
    </rPh>
    <phoneticPr fontId="2"/>
  </si>
  <si>
    <t>ラーメン喜多嶋（追浜）</t>
    <rPh sb="4" eb="7">
      <t>キタジマ</t>
    </rPh>
    <rPh sb="8" eb="10">
      <t>オッパマ</t>
    </rPh>
    <phoneticPr fontId="2"/>
  </si>
  <si>
    <t>西三区青年会</t>
    <rPh sb="0" eb="1">
      <t>ニシ</t>
    </rPh>
    <rPh sb="1" eb="3">
      <t>サンク</t>
    </rPh>
    <rPh sb="3" eb="6">
      <t>セイネンカイ</t>
    </rPh>
    <phoneticPr fontId="2"/>
  </si>
  <si>
    <t>大高雄一</t>
    <rPh sb="0" eb="2">
      <t>オオタカ</t>
    </rPh>
    <rPh sb="2" eb="4">
      <t>ユウイチ</t>
    </rPh>
    <phoneticPr fontId="2"/>
  </si>
  <si>
    <t>浦賀北 神輿保存会</t>
    <rPh sb="0" eb="2">
      <t>ウラガ</t>
    </rPh>
    <rPh sb="2" eb="3">
      <t>キタ</t>
    </rPh>
    <rPh sb="4" eb="6">
      <t>ミコシ</t>
    </rPh>
    <rPh sb="6" eb="9">
      <t>ホゾンカイ</t>
    </rPh>
    <phoneticPr fontId="2"/>
  </si>
  <si>
    <t>門付</t>
    <rPh sb="0" eb="2">
      <t>カドヅ</t>
    </rPh>
    <phoneticPr fontId="2"/>
  </si>
  <si>
    <t>小松誠</t>
    <rPh sb="0" eb="2">
      <t>コマツ</t>
    </rPh>
    <rPh sb="2" eb="3">
      <t>マコト</t>
    </rPh>
    <phoneticPr fontId="2"/>
  </si>
  <si>
    <t>高橋博満</t>
    <rPh sb="0" eb="2">
      <t>タカハシ</t>
    </rPh>
    <rPh sb="2" eb="4">
      <t>ヒロミツ</t>
    </rPh>
    <phoneticPr fontId="2"/>
  </si>
  <si>
    <t>宮川光枝</t>
    <rPh sb="0" eb="2">
      <t>ミヤガワ</t>
    </rPh>
    <rPh sb="2" eb="4">
      <t>ミツエ</t>
    </rPh>
    <phoneticPr fontId="2"/>
  </si>
  <si>
    <t>爲廣哲朗</t>
    <rPh sb="0" eb="2">
      <t>タメヒロ</t>
    </rPh>
    <rPh sb="2" eb="4">
      <t>テツロウ</t>
    </rPh>
    <phoneticPr fontId="2"/>
  </si>
  <si>
    <t>玉田義輝</t>
    <rPh sb="0" eb="2">
      <t>タマダ</t>
    </rPh>
    <rPh sb="2" eb="4">
      <t>ヨシテル</t>
    </rPh>
    <phoneticPr fontId="2"/>
  </si>
  <si>
    <t>福島紀一</t>
    <rPh sb="0" eb="2">
      <t>フクシマ</t>
    </rPh>
    <rPh sb="2" eb="4">
      <t>ノリカズ</t>
    </rPh>
    <phoneticPr fontId="2"/>
  </si>
  <si>
    <t>松村和彦</t>
    <rPh sb="0" eb="2">
      <t>マツムラ</t>
    </rPh>
    <rPh sb="2" eb="4">
      <t>カズヒコ</t>
    </rPh>
    <phoneticPr fontId="2"/>
  </si>
  <si>
    <t>青山啓二</t>
    <rPh sb="0" eb="2">
      <t>アオヤマ</t>
    </rPh>
    <rPh sb="2" eb="4">
      <t>ケイジ</t>
    </rPh>
    <phoneticPr fontId="2"/>
  </si>
  <si>
    <t>杉本一久</t>
    <rPh sb="0" eb="2">
      <t>スギモト</t>
    </rPh>
    <rPh sb="2" eb="4">
      <t>カズヒサ</t>
    </rPh>
    <phoneticPr fontId="2"/>
  </si>
  <si>
    <t>熊本義明</t>
    <rPh sb="0" eb="2">
      <t>クマモト</t>
    </rPh>
    <rPh sb="2" eb="4">
      <t>ヨシアキ</t>
    </rPh>
    <phoneticPr fontId="2"/>
  </si>
  <si>
    <t>伊藤一樹</t>
    <rPh sb="0" eb="2">
      <t>イトウ</t>
    </rPh>
    <rPh sb="2" eb="4">
      <t>カズキ</t>
    </rPh>
    <phoneticPr fontId="2"/>
  </si>
  <si>
    <t>伊藤大樹</t>
    <rPh sb="0" eb="2">
      <t>イトウ</t>
    </rPh>
    <rPh sb="2" eb="4">
      <t>ダイキ</t>
    </rPh>
    <phoneticPr fontId="2"/>
  </si>
  <si>
    <t>水内鶴男</t>
    <rPh sb="0" eb="2">
      <t>ミズウチ</t>
    </rPh>
    <rPh sb="2" eb="4">
      <t>ツルオ</t>
    </rPh>
    <phoneticPr fontId="2"/>
  </si>
  <si>
    <t>井波</t>
    <rPh sb="0" eb="2">
      <t>イナミ</t>
    </rPh>
    <phoneticPr fontId="2"/>
  </si>
  <si>
    <t>宮下忠夫</t>
    <rPh sb="0" eb="2">
      <t>ミヤシタ</t>
    </rPh>
    <rPh sb="2" eb="4">
      <t>タダオ</t>
    </rPh>
    <phoneticPr fontId="2"/>
  </si>
  <si>
    <t>澤藤成穂</t>
    <rPh sb="0" eb="2">
      <t>サワフジ</t>
    </rPh>
    <rPh sb="2" eb="4">
      <t>ナルホ</t>
    </rPh>
    <phoneticPr fontId="2"/>
  </si>
  <si>
    <t>富山厚</t>
    <rPh sb="0" eb="2">
      <t>トミヤマ</t>
    </rPh>
    <rPh sb="2" eb="3">
      <t>アツシ</t>
    </rPh>
    <phoneticPr fontId="2"/>
  </si>
  <si>
    <t>渡辺嘉久也</t>
    <rPh sb="0" eb="2">
      <t>ワタナベ</t>
    </rPh>
    <rPh sb="3" eb="4">
      <t>ヒサ</t>
    </rPh>
    <rPh sb="4" eb="5">
      <t>ヤ</t>
    </rPh>
    <phoneticPr fontId="2"/>
  </si>
  <si>
    <t>藤巻明子</t>
    <rPh sb="0" eb="2">
      <t>フジマキ</t>
    </rPh>
    <rPh sb="2" eb="4">
      <t>アキコ</t>
    </rPh>
    <phoneticPr fontId="2"/>
  </si>
  <si>
    <t>前田清孝</t>
    <rPh sb="0" eb="2">
      <t>マエダ</t>
    </rPh>
    <rPh sb="2" eb="3">
      <t>キヨ</t>
    </rPh>
    <rPh sb="3" eb="4">
      <t>タカシ</t>
    </rPh>
    <phoneticPr fontId="2"/>
  </si>
  <si>
    <t>セラヴィ</t>
    <phoneticPr fontId="2"/>
  </si>
  <si>
    <t>宮野</t>
    <rPh sb="0" eb="2">
      <t>ミヤノ</t>
    </rPh>
    <phoneticPr fontId="2"/>
  </si>
  <si>
    <t>齋藤良一</t>
    <rPh sb="0" eb="2">
      <t>サイトウ</t>
    </rPh>
    <rPh sb="2" eb="4">
      <t>リョウイチ</t>
    </rPh>
    <phoneticPr fontId="2"/>
  </si>
  <si>
    <t>藤田範男</t>
    <rPh sb="0" eb="2">
      <t>フジタ</t>
    </rPh>
    <rPh sb="2" eb="4">
      <t>ノリオ</t>
    </rPh>
    <phoneticPr fontId="2"/>
  </si>
  <si>
    <t>粟飯原功</t>
    <rPh sb="0" eb="3">
      <t>アワイハラ</t>
    </rPh>
    <rPh sb="3" eb="4">
      <t>イサオ</t>
    </rPh>
    <phoneticPr fontId="2"/>
  </si>
  <si>
    <t>高橋正</t>
    <rPh sb="0" eb="2">
      <t>タカハシ</t>
    </rPh>
    <rPh sb="2" eb="3">
      <t>タダシ</t>
    </rPh>
    <phoneticPr fontId="2"/>
  </si>
  <si>
    <t>高島秀夫</t>
    <rPh sb="0" eb="2">
      <t>タカシマ</t>
    </rPh>
    <rPh sb="2" eb="4">
      <t>ヒデオ</t>
    </rPh>
    <phoneticPr fontId="2"/>
  </si>
  <si>
    <t>齋藤勇</t>
    <rPh sb="0" eb="2">
      <t>サイトウ</t>
    </rPh>
    <rPh sb="2" eb="3">
      <t>イサム</t>
    </rPh>
    <phoneticPr fontId="2"/>
  </si>
  <si>
    <t>松川正士</t>
    <rPh sb="0" eb="2">
      <t>マツカワ</t>
    </rPh>
    <rPh sb="2" eb="3">
      <t>マサシ</t>
    </rPh>
    <rPh sb="3" eb="4">
      <t>シ</t>
    </rPh>
    <phoneticPr fontId="2"/>
  </si>
  <si>
    <t>魚広</t>
    <rPh sb="0" eb="2">
      <t>ウオヒロ</t>
    </rPh>
    <phoneticPr fontId="2"/>
  </si>
  <si>
    <t>ふく福</t>
    <rPh sb="2" eb="3">
      <t>フク</t>
    </rPh>
    <phoneticPr fontId="2"/>
  </si>
  <si>
    <t>成都ダイニング</t>
    <rPh sb="0" eb="2">
      <t>セイト</t>
    </rPh>
    <phoneticPr fontId="2"/>
  </si>
  <si>
    <t>武藤慎一</t>
    <rPh sb="2" eb="4">
      <t>シンイチ</t>
    </rPh>
    <phoneticPr fontId="2"/>
  </si>
  <si>
    <t>サクマ時計店</t>
    <rPh sb="3" eb="6">
      <t>トケイテン</t>
    </rPh>
    <phoneticPr fontId="2"/>
  </si>
  <si>
    <t>小山　一彦・修司</t>
    <rPh sb="0" eb="2">
      <t>コヤマ</t>
    </rPh>
    <rPh sb="3" eb="5">
      <t>カズヒコ</t>
    </rPh>
    <rPh sb="6" eb="8">
      <t>シュウジ</t>
    </rPh>
    <phoneticPr fontId="2"/>
  </si>
  <si>
    <t>賽銭箱</t>
    <rPh sb="0" eb="3">
      <t>サイセンバコ</t>
    </rPh>
    <phoneticPr fontId="2"/>
  </si>
  <si>
    <t>門付（少年部へ）</t>
    <rPh sb="0" eb="2">
      <t>カドヅ</t>
    </rPh>
    <phoneticPr fontId="2"/>
  </si>
  <si>
    <t>溝口美代子</t>
    <rPh sb="0" eb="2">
      <t>ミゾグチ</t>
    </rPh>
    <rPh sb="2" eb="5">
      <t>ミヨコ</t>
    </rPh>
    <phoneticPr fontId="2"/>
  </si>
  <si>
    <t>堀江善幸</t>
    <rPh sb="0" eb="2">
      <t>ホリエ</t>
    </rPh>
    <rPh sb="2" eb="4">
      <t>ヨシユキ</t>
    </rPh>
    <phoneticPr fontId="2"/>
  </si>
  <si>
    <t>単年度：</t>
    <rPh sb="0" eb="3">
      <t>タンネンド</t>
    </rPh>
    <phoneticPr fontId="2"/>
  </si>
  <si>
    <t>※一般会計へ返金</t>
    <rPh sb="1" eb="3">
      <t>イッパン</t>
    </rPh>
    <rPh sb="3" eb="5">
      <t>カイケイ</t>
    </rPh>
    <rPh sb="6" eb="8">
      <t>ヘンキン</t>
    </rPh>
    <phoneticPr fontId="2"/>
  </si>
  <si>
    <t>町内寄付：</t>
    <rPh sb="0" eb="2">
      <t>チョウナイ</t>
    </rPh>
    <rPh sb="2" eb="4">
      <t>キフ</t>
    </rPh>
    <phoneticPr fontId="2"/>
  </si>
  <si>
    <t>奉納金：</t>
    <rPh sb="0" eb="3">
      <t>ホウノウキン</t>
    </rPh>
    <phoneticPr fontId="2"/>
  </si>
  <si>
    <t>門付：</t>
    <rPh sb="0" eb="2">
      <t>カドヅ</t>
    </rPh>
    <phoneticPr fontId="2"/>
  </si>
  <si>
    <t>エレファント</t>
    <phoneticPr fontId="2"/>
  </si>
  <si>
    <t>竹の湯</t>
    <rPh sb="0" eb="1">
      <t>タケ</t>
    </rPh>
    <rPh sb="2" eb="3">
      <t>ユ</t>
    </rPh>
    <phoneticPr fontId="2"/>
  </si>
  <si>
    <t>入浴費</t>
    <rPh sb="0" eb="2">
      <t>ニュウヨク</t>
    </rPh>
    <rPh sb="2" eb="3">
      <t>ヒ</t>
    </rPh>
    <phoneticPr fontId="2"/>
  </si>
  <si>
    <t>三宝（野菜・果物）</t>
    <rPh sb="0" eb="2">
      <t>サンポウ</t>
    </rPh>
    <rPh sb="3" eb="5">
      <t>ヤサイ</t>
    </rPh>
    <rPh sb="6" eb="8">
      <t>クダモノ</t>
    </rPh>
    <phoneticPr fontId="2"/>
  </si>
  <si>
    <t>八百武</t>
    <rPh sb="0" eb="2">
      <t>ハッピャク</t>
    </rPh>
    <rPh sb="2" eb="3">
      <t>タケ</t>
    </rPh>
    <phoneticPr fontId="2"/>
  </si>
  <si>
    <t>串一</t>
    <rPh sb="0" eb="1">
      <t>クシ</t>
    </rPh>
    <rPh sb="1" eb="2">
      <t>イチ</t>
    </rPh>
    <phoneticPr fontId="2"/>
  </si>
  <si>
    <t>ニューニサン</t>
    <phoneticPr fontId="2"/>
  </si>
  <si>
    <t>マミークリーニング</t>
    <phoneticPr fontId="2"/>
  </si>
  <si>
    <t>半纏クリーニング</t>
    <rPh sb="0" eb="2">
      <t>ハンテン</t>
    </rPh>
    <phoneticPr fontId="2"/>
  </si>
  <si>
    <t>祭礼片付け食事</t>
    <rPh sb="0" eb="2">
      <t>サイレイ</t>
    </rPh>
    <rPh sb="2" eb="4">
      <t>カタヅ</t>
    </rPh>
    <rPh sb="5" eb="7">
      <t>ショクジ</t>
    </rPh>
    <phoneticPr fontId="2"/>
  </si>
  <si>
    <t>祭礼片付け飲み物</t>
    <rPh sb="0" eb="2">
      <t>サイレイ</t>
    </rPh>
    <rPh sb="2" eb="4">
      <t>カタヅ</t>
    </rPh>
    <rPh sb="5" eb="6">
      <t>ノ</t>
    </rPh>
    <rPh sb="7" eb="8">
      <t>モノ</t>
    </rPh>
    <phoneticPr fontId="2"/>
  </si>
  <si>
    <t>エイビイ</t>
    <phoneticPr fontId="2"/>
  </si>
  <si>
    <t>お茶600cc×48本</t>
    <rPh sb="1" eb="2">
      <t>チャ</t>
    </rPh>
    <rPh sb="10" eb="11">
      <t>ホン</t>
    </rPh>
    <phoneticPr fontId="2"/>
  </si>
  <si>
    <t>氷×21袋、大根漬物</t>
    <rPh sb="0" eb="1">
      <t>コオリ</t>
    </rPh>
    <rPh sb="4" eb="5">
      <t>フクロ</t>
    </rPh>
    <rPh sb="6" eb="8">
      <t>ダイコン</t>
    </rPh>
    <rPh sb="8" eb="10">
      <t>ツケモノ</t>
    </rPh>
    <phoneticPr fontId="2"/>
  </si>
  <si>
    <t>ローソン100</t>
    <phoneticPr fontId="2"/>
  </si>
  <si>
    <t>赤飯</t>
    <rPh sb="0" eb="2">
      <t>セキハン</t>
    </rPh>
    <phoneticPr fontId="2"/>
  </si>
  <si>
    <t>セブンイレブン</t>
    <phoneticPr fontId="2"/>
  </si>
  <si>
    <t>能登屋</t>
    <rPh sb="0" eb="2">
      <t>ノト</t>
    </rPh>
    <rPh sb="2" eb="3">
      <t>ヤ</t>
    </rPh>
    <phoneticPr fontId="2"/>
  </si>
  <si>
    <t>お供え餅　一升</t>
    <rPh sb="1" eb="2">
      <t>ソナ</t>
    </rPh>
    <rPh sb="3" eb="4">
      <t>モチ</t>
    </rPh>
    <rPh sb="5" eb="7">
      <t>イッショウ</t>
    </rPh>
    <phoneticPr fontId="2"/>
  </si>
  <si>
    <t>祭礼準備つまみ</t>
    <rPh sb="0" eb="2">
      <t>サイレイ</t>
    </rPh>
    <rPh sb="2" eb="4">
      <t>ジュンビ</t>
    </rPh>
    <phoneticPr fontId="2"/>
  </si>
  <si>
    <t>京急ストア追浜店</t>
    <rPh sb="0" eb="2">
      <t>ケイキュウ</t>
    </rPh>
    <rPh sb="5" eb="7">
      <t>オッパマ</t>
    </rPh>
    <rPh sb="7" eb="8">
      <t>テン</t>
    </rPh>
    <phoneticPr fontId="2"/>
  </si>
  <si>
    <t>プラカップ1000個</t>
    <rPh sb="9" eb="10">
      <t>コ</t>
    </rPh>
    <phoneticPr fontId="2"/>
  </si>
  <si>
    <t>Amazon</t>
  </si>
  <si>
    <t>焼酎　白玉の露６本</t>
    <rPh sb="0" eb="2">
      <t>ショウチュウ</t>
    </rPh>
    <rPh sb="3" eb="5">
      <t>シラタマ</t>
    </rPh>
    <rPh sb="6" eb="7">
      <t>ツユ</t>
    </rPh>
    <rPh sb="8" eb="9">
      <t>ホン</t>
    </rPh>
    <phoneticPr fontId="2"/>
  </si>
  <si>
    <t>お茶２ℓ×60本、天然水２ℓ×18本</t>
    <rPh sb="1" eb="2">
      <t>チャ</t>
    </rPh>
    <rPh sb="7" eb="8">
      <t>ホン</t>
    </rPh>
    <rPh sb="9" eb="12">
      <t>テンネンスイ</t>
    </rPh>
    <rPh sb="17" eb="18">
      <t>ホン</t>
    </rPh>
    <phoneticPr fontId="2"/>
  </si>
  <si>
    <t>コストコ</t>
    <phoneticPr fontId="2"/>
  </si>
  <si>
    <t>キリン一番搾りほか</t>
    <rPh sb="3" eb="5">
      <t>イチバン</t>
    </rPh>
    <rPh sb="5" eb="6">
      <t>シボ</t>
    </rPh>
    <phoneticPr fontId="2"/>
  </si>
  <si>
    <t>渉外用焼酎×６本</t>
    <rPh sb="0" eb="2">
      <t>ショウガイ</t>
    </rPh>
    <rPh sb="2" eb="3">
      <t>ヨウ</t>
    </rPh>
    <rPh sb="3" eb="5">
      <t>ショウチュウ</t>
    </rPh>
    <rPh sb="7" eb="8">
      <t>ホン</t>
    </rPh>
    <phoneticPr fontId="2"/>
  </si>
  <si>
    <t>スーパードライほか</t>
    <phoneticPr fontId="2"/>
  </si>
  <si>
    <t>昼食弁当代</t>
    <rPh sb="0" eb="2">
      <t>チュウショク</t>
    </rPh>
    <rPh sb="2" eb="5">
      <t>ベントウダイ</t>
    </rPh>
    <phoneticPr fontId="2"/>
  </si>
  <si>
    <t>ホームズ</t>
    <phoneticPr fontId="2"/>
  </si>
  <si>
    <t>わら縄大巻×1、蚊取り線香50巻</t>
    <rPh sb="2" eb="3">
      <t>ナワ</t>
    </rPh>
    <rPh sb="3" eb="5">
      <t>オオマキ</t>
    </rPh>
    <rPh sb="8" eb="10">
      <t>カト</t>
    </rPh>
    <rPh sb="11" eb="13">
      <t>センコウ</t>
    </rPh>
    <rPh sb="15" eb="16">
      <t>マキ</t>
    </rPh>
    <phoneticPr fontId="2"/>
  </si>
  <si>
    <t>ホームズ横須賀店</t>
    <rPh sb="4" eb="8">
      <t>ヨコスカテン</t>
    </rPh>
    <phoneticPr fontId="2"/>
  </si>
  <si>
    <t>スパーク浦郷店</t>
    <rPh sb="4" eb="6">
      <t>ウラゴウ</t>
    </rPh>
    <phoneticPr fontId="2"/>
  </si>
  <si>
    <t>はりてる</t>
  </si>
  <si>
    <t>はりてる</t>
    <phoneticPr fontId="2"/>
  </si>
  <si>
    <t>さらし×4</t>
    <phoneticPr fontId="2"/>
  </si>
  <si>
    <t>すずき金物</t>
    <rPh sb="3" eb="5">
      <t>カナモノ</t>
    </rPh>
    <phoneticPr fontId="2"/>
  </si>
  <si>
    <t>平麻×10本</t>
    <rPh sb="0" eb="1">
      <t>ヒラ</t>
    </rPh>
    <rPh sb="1" eb="2">
      <t>アサ</t>
    </rPh>
    <rPh sb="5" eb="6">
      <t>ホン</t>
    </rPh>
    <phoneticPr fontId="2"/>
  </si>
  <si>
    <t>タオル（配布用）600枚</t>
  </si>
  <si>
    <t>タオル（配布用）600枚</t>
    <rPh sb="4" eb="6">
      <t>ハイフ</t>
    </rPh>
    <rPh sb="6" eb="7">
      <t>ヨウ</t>
    </rPh>
    <rPh sb="11" eb="12">
      <t>マイ</t>
    </rPh>
    <phoneticPr fontId="2"/>
  </si>
  <si>
    <t>タオル（返礼用）300枚</t>
    <rPh sb="4" eb="7">
      <t>ヘンレイヨウ</t>
    </rPh>
    <rPh sb="11" eb="12">
      <t>マイ</t>
    </rPh>
    <phoneticPr fontId="2"/>
  </si>
  <si>
    <t>白封筒（返礼用） 350枚</t>
    <rPh sb="0" eb="1">
      <t>シロ</t>
    </rPh>
    <rPh sb="1" eb="3">
      <t>フウトウ</t>
    </rPh>
    <rPh sb="4" eb="7">
      <t>ヘンレイヨウ</t>
    </rPh>
    <rPh sb="12" eb="13">
      <t>マイ</t>
    </rPh>
    <phoneticPr fontId="2"/>
  </si>
  <si>
    <t>のし紙300枚・B5用紙（返礼用）500</t>
    <rPh sb="2" eb="3">
      <t>ガミ</t>
    </rPh>
    <rPh sb="6" eb="7">
      <t>マイ</t>
    </rPh>
    <rPh sb="13" eb="16">
      <t>ヘンレイヨウ</t>
    </rPh>
    <phoneticPr fontId="2"/>
  </si>
  <si>
    <t>日本酒オークション</t>
    <rPh sb="0" eb="3">
      <t>ニホンシュ</t>
    </rPh>
    <phoneticPr fontId="2"/>
  </si>
  <si>
    <t>現金：</t>
    <rPh sb="0" eb="2">
      <t>ゲンキン</t>
    </rPh>
    <phoneticPr fontId="2"/>
  </si>
  <si>
    <t>齋藤副会長</t>
    <rPh sb="0" eb="2">
      <t>サイトウ</t>
    </rPh>
    <rPh sb="2" eb="5">
      <t>フクカイチョウ</t>
    </rPh>
    <phoneticPr fontId="2"/>
  </si>
  <si>
    <t>一般会計→なるまま</t>
    <rPh sb="0" eb="2">
      <t>イッパン</t>
    </rPh>
    <rPh sb="2" eb="4">
      <t>カイケイ</t>
    </rPh>
    <phoneticPr fontId="2"/>
  </si>
  <si>
    <t>町内寄付（残り１班分）</t>
    <rPh sb="0" eb="2">
      <t>チョウナイ</t>
    </rPh>
    <rPh sb="2" eb="4">
      <t>キフ</t>
    </rPh>
    <rPh sb="5" eb="6">
      <t>ノコ</t>
    </rPh>
    <rPh sb="8" eb="9">
      <t>ハン</t>
    </rPh>
    <rPh sb="9" eb="10">
      <t>ブン</t>
    </rPh>
    <phoneticPr fontId="2"/>
  </si>
  <si>
    <t>橋本→なるまま</t>
    <rPh sb="0" eb="2">
      <t>ハシモト</t>
    </rPh>
    <phoneticPr fontId="2"/>
  </si>
  <si>
    <t>2023/7/18現在</t>
    <phoneticPr fontId="2"/>
  </si>
  <si>
    <t>→橋本立替分の清算</t>
    <rPh sb="1" eb="3">
      <t>ハシモト</t>
    </rPh>
    <rPh sb="3" eb="5">
      <t>タテカエ</t>
    </rPh>
    <rPh sb="5" eb="6">
      <t>ブン</t>
    </rPh>
    <rPh sb="7" eb="9">
      <t>セイサン</t>
    </rPh>
    <phoneticPr fontId="2"/>
  </si>
  <si>
    <t>場所提供お礼</t>
    <rPh sb="0" eb="2">
      <t>バショ</t>
    </rPh>
    <rPh sb="2" eb="4">
      <t>テイキョウ</t>
    </rPh>
    <rPh sb="5" eb="6">
      <t>レイ</t>
    </rPh>
    <phoneticPr fontId="2"/>
  </si>
  <si>
    <t>齋藤</t>
    <rPh sb="0" eb="2">
      <t>サイトウ</t>
    </rPh>
    <phoneticPr fontId="2"/>
  </si>
  <si>
    <t>福寿</t>
    <rPh sb="0" eb="2">
      <t>フクジュ</t>
    </rPh>
    <phoneticPr fontId="2"/>
  </si>
  <si>
    <t>金子</t>
    <rPh sb="0" eb="2">
      <t>カネコ</t>
    </rPh>
    <phoneticPr fontId="2"/>
  </si>
  <si>
    <t>残高（普通預金＋小口現金）</t>
    <rPh sb="0" eb="2">
      <t>ザンダカ</t>
    </rPh>
    <rPh sb="3" eb="5">
      <t xml:space="preserve">フツウ </t>
    </rPh>
    <rPh sb="5" eb="7">
      <t xml:space="preserve">ヨキン </t>
    </rPh>
    <rPh sb="8" eb="10">
      <t xml:space="preserve">コグチ </t>
    </rPh>
    <rPh sb="10" eb="12">
      <t xml:space="preserve">ゲンキン </t>
    </rPh>
    <phoneticPr fontId="2"/>
  </si>
  <si>
    <t>取引者</t>
    <rPh sb="0" eb="3">
      <t xml:space="preserve">トリヒキシャ </t>
    </rPh>
    <phoneticPr fontId="2"/>
  </si>
  <si>
    <t>通帳</t>
    <rPh sb="0" eb="2">
      <t xml:space="preserve">ツウチョウ </t>
    </rPh>
    <phoneticPr fontId="2"/>
  </si>
  <si>
    <t>会計現金</t>
    <rPh sb="0" eb="2">
      <t xml:space="preserve">カイケイ </t>
    </rPh>
    <rPh sb="2" eb="4">
      <t xml:space="preserve">ゲンキン </t>
    </rPh>
    <phoneticPr fontId="2"/>
  </si>
  <si>
    <t>松村</t>
    <rPh sb="0" eb="2">
      <t xml:space="preserve">マツムラ </t>
    </rPh>
    <phoneticPr fontId="2"/>
  </si>
  <si>
    <t>齋藤</t>
    <phoneticPr fontId="2"/>
  </si>
  <si>
    <t>検算</t>
    <rPh sb="0" eb="2">
      <t xml:space="preserve">ケンザン </t>
    </rPh>
    <phoneticPr fontId="2"/>
  </si>
  <si>
    <t>備考</t>
    <rPh sb="0" eb="2">
      <t xml:space="preserve">ビコウ </t>
    </rPh>
    <phoneticPr fontId="2"/>
  </si>
  <si>
    <t>数式集計ダミー行（※削除しないこと）</t>
    <rPh sb="0" eb="2">
      <t xml:space="preserve">スウシキ </t>
    </rPh>
    <rPh sb="2" eb="4">
      <t xml:space="preserve">シュウケイ </t>
    </rPh>
    <rPh sb="10" eb="12">
      <t xml:space="preserve">サクジョ </t>
    </rPh>
    <phoneticPr fontId="2"/>
  </si>
  <si>
    <t>前年度からの繰越◆預金</t>
    <rPh sb="0" eb="3">
      <t>ゼンネンド</t>
    </rPh>
    <rPh sb="6" eb="8">
      <t>クリコシ</t>
    </rPh>
    <rPh sb="9" eb="11">
      <t>ヨキン</t>
    </rPh>
    <phoneticPr fontId="2"/>
  </si>
  <si>
    <t>i6</t>
    <phoneticPr fontId="2"/>
  </si>
  <si>
    <t>普通預金</t>
    <rPh sb="0" eb="2">
      <t>フツウ</t>
    </rPh>
    <rPh sb="2" eb="4">
      <t>ヨキン</t>
    </rPh>
    <phoneticPr fontId="2"/>
  </si>
  <si>
    <t>前年度からの繰越●現金</t>
    <rPh sb="0" eb="3">
      <t>ゼンネンド</t>
    </rPh>
    <rPh sb="6" eb="8">
      <t>クリコシ</t>
    </rPh>
    <rPh sb="9" eb="11">
      <t>ゲンキン</t>
    </rPh>
    <phoneticPr fontId="2"/>
  </si>
  <si>
    <t>会計現金</t>
    <phoneticPr fontId="2"/>
  </si>
  <si>
    <t>松村</t>
    <rPh sb="0" eb="2">
      <t>マツムラ</t>
    </rPh>
    <phoneticPr fontId="2"/>
  </si>
  <si>
    <t>齋藤副会長</t>
    <rPh sb="2" eb="5">
      <t xml:space="preserve">フクカイチョウ </t>
    </rPh>
    <phoneticPr fontId="2"/>
  </si>
  <si>
    <t>i1</t>
    <phoneticPr fontId="2"/>
  </si>
  <si>
    <t>スパーク</t>
    <phoneticPr fontId="2"/>
  </si>
  <si>
    <t>船越神社</t>
    <rPh sb="0" eb="2">
      <t>フナコシ</t>
    </rPh>
    <rPh sb="2" eb="4">
      <t>ジンジャ</t>
    </rPh>
    <phoneticPr fontId="2"/>
  </si>
  <si>
    <t>京急ストア</t>
    <rPh sb="0" eb="2">
      <t>ケイキュウ</t>
    </rPh>
    <phoneticPr fontId="2"/>
  </si>
  <si>
    <t>マミークリーニング</t>
    <phoneticPr fontId="2"/>
  </si>
  <si>
    <t>合　　計</t>
  </si>
  <si>
    <t>背景色の凡例</t>
    <rPh sb="0" eb="3">
      <t xml:space="preserve">ハイケイショク </t>
    </rPh>
    <rPh sb="4" eb="6">
      <t xml:space="preserve">ハンレイ </t>
    </rPh>
    <phoneticPr fontId="2"/>
  </si>
  <si>
    <t>↓</t>
    <phoneticPr fontId="2"/>
  </si>
  <si>
    <t>件</t>
    <rPh sb="0" eb="1">
      <t>ケン</t>
    </rPh>
    <phoneticPr fontId="2"/>
  </si>
  <si>
    <t>増</t>
    <rPh sb="0" eb="1">
      <t>ゾウ</t>
    </rPh>
    <phoneticPr fontId="2"/>
  </si>
  <si>
    <t>入金件数</t>
    <rPh sb="0" eb="2">
      <t>ニュウキン</t>
    </rPh>
    <rPh sb="2" eb="4">
      <t>ケンスウ</t>
    </rPh>
    <phoneticPr fontId="2"/>
  </si>
  <si>
    <t>減</t>
    <rPh sb="0" eb="1">
      <t>ゲン</t>
    </rPh>
    <phoneticPr fontId="2"/>
  </si>
  <si>
    <t>内訳：</t>
    <rPh sb="0" eb="2">
      <t>ウチワケ</t>
    </rPh>
    <phoneticPr fontId="2"/>
  </si>
  <si>
    <t>←←</t>
    <phoneticPr fontId="2"/>
  </si>
  <si>
    <t>出金件数</t>
    <rPh sb="0" eb="2">
      <t>シュッキン</t>
    </rPh>
    <rPh sb="2" eb="4">
      <t>ケンスウ</t>
    </rPh>
    <phoneticPr fontId="2"/>
  </si>
  <si>
    <t>現金</t>
    <rPh sb="0" eb="2">
      <t>ゲンキン</t>
    </rPh>
    <phoneticPr fontId="2"/>
  </si>
  <si>
    <t>←←←←</t>
    <phoneticPr fontId="2"/>
  </si>
  <si>
    <t>←（＋）←</t>
    <phoneticPr fontId="2"/>
  </si>
  <si>
    <t>上記合計</t>
    <rPh sb="0" eb="2">
      <t>ジョウキ</t>
    </rPh>
    <rPh sb="2" eb="4">
      <t>ゴウケイ</t>
    </rPh>
    <phoneticPr fontId="2"/>
  </si>
  <si>
    <t>【ご参考】個人別の現金の流れ：</t>
    <rPh sb="2" eb="4">
      <t>サンコウ</t>
    </rPh>
    <rPh sb="5" eb="8">
      <t>コジンベツ</t>
    </rPh>
    <rPh sb="9" eb="11">
      <t>ゲンキン</t>
    </rPh>
    <rPh sb="12" eb="13">
      <t>ナガ</t>
    </rPh>
    <phoneticPr fontId="2"/>
  </si>
  <si>
    <t>　　　(↑）会長、副会長、少年部への小口現金を含む。</t>
    <rPh sb="6" eb="8">
      <t>カイチョウ</t>
    </rPh>
    <rPh sb="9" eb="12">
      <t>フクカイチョウ</t>
    </rPh>
    <rPh sb="13" eb="16">
      <t>ショウネンブ</t>
    </rPh>
    <rPh sb="18" eb="20">
      <t>コグチ</t>
    </rPh>
    <rPh sb="20" eb="22">
      <t>ゲンキン</t>
    </rPh>
    <rPh sb="23" eb="24">
      <t>フク</t>
    </rPh>
    <phoneticPr fontId="2"/>
  </si>
  <si>
    <t>●収入</t>
    <rPh sb="1" eb="3">
      <t xml:space="preserve">シュウニュウ </t>
    </rPh>
    <phoneticPr fontId="2"/>
  </si>
  <si>
    <t>i2</t>
    <phoneticPr fontId="2"/>
  </si>
  <si>
    <t>i3</t>
    <phoneticPr fontId="2"/>
  </si>
  <si>
    <t>i4</t>
    <phoneticPr fontId="2"/>
  </si>
  <si>
    <t>i5</t>
    <phoneticPr fontId="2"/>
  </si>
  <si>
    <t>収入合計：</t>
    <rPh sb="0" eb="2">
      <t xml:space="preserve">シュウニュウ </t>
    </rPh>
    <rPh sb="2" eb="4">
      <t xml:space="preserve">ゴウケイ </t>
    </rPh>
    <phoneticPr fontId="2"/>
  </si>
  <si>
    <t>合計：</t>
    <rPh sb="0" eb="2">
      <t xml:space="preserve">ゴウケイ </t>
    </rPh>
    <phoneticPr fontId="2"/>
  </si>
  <si>
    <t>【ご参考】収入合計（繰越金を除く）：</t>
    <rPh sb="2" eb="4">
      <t>サンコウ</t>
    </rPh>
    <rPh sb="5" eb="7">
      <t xml:space="preserve">シュウニュウ </t>
    </rPh>
    <rPh sb="7" eb="9">
      <t xml:space="preserve">ゴウケイ </t>
    </rPh>
    <rPh sb="10" eb="13">
      <t>クリコシキン</t>
    </rPh>
    <rPh sb="14" eb="15">
      <t>ノゾ</t>
    </rPh>
    <phoneticPr fontId="2"/>
  </si>
  <si>
    <t>●支出</t>
    <rPh sb="1" eb="3">
      <t>シシュツ</t>
    </rPh>
    <phoneticPr fontId="2"/>
  </si>
  <si>
    <t>備考</t>
    <rPh sb="0" eb="2">
      <t>ビコウ</t>
    </rPh>
    <phoneticPr fontId="2"/>
  </si>
  <si>
    <t>雑費</t>
    <rPh sb="0" eb="2">
      <t>ザッピ</t>
    </rPh>
    <phoneticPr fontId="2"/>
  </si>
  <si>
    <t>支出合計：</t>
    <rPh sb="0" eb="2">
      <t>シシュツ</t>
    </rPh>
    <rPh sb="2" eb="4">
      <t xml:space="preserve">ゴウケイ </t>
    </rPh>
    <phoneticPr fontId="2"/>
  </si>
  <si>
    <t>←収入合計に同じ</t>
    <rPh sb="1" eb="3">
      <t>シュウニュウ</t>
    </rPh>
    <rPh sb="3" eb="5">
      <t>ゴウケイ</t>
    </rPh>
    <rPh sb="6" eb="7">
      <t>オナ</t>
    </rPh>
    <phoneticPr fontId="2"/>
  </si>
  <si>
    <t>祭礼会計</t>
    <rPh sb="0" eb="2">
      <t>サイレイ</t>
    </rPh>
    <rPh sb="2" eb="4">
      <t>カイケイ</t>
    </rPh>
    <phoneticPr fontId="2"/>
  </si>
  <si>
    <t>祭礼会計</t>
    <rPh sb="0" eb="2">
      <t>サイレイ</t>
    </rPh>
    <rPh sb="2" eb="4">
      <t xml:space="preserve">カイケイ </t>
    </rPh>
    <phoneticPr fontId="2"/>
  </si>
  <si>
    <t>お祝い</t>
    <rPh sb="1" eb="2">
      <t>イワ</t>
    </rPh>
    <phoneticPr fontId="2"/>
  </si>
  <si>
    <t>連合タスキクリーニング</t>
    <rPh sb="0" eb="2">
      <t>レンゴウ</t>
    </rPh>
    <phoneticPr fontId="2"/>
  </si>
  <si>
    <t>役員</t>
    <rPh sb="0" eb="2">
      <t>ヤクイン</t>
    </rPh>
    <phoneticPr fontId="2"/>
  </si>
  <si>
    <t>高橋</t>
    <rPh sb="0" eb="2">
      <t>タカハシ</t>
    </rPh>
    <phoneticPr fontId="2"/>
  </si>
  <si>
    <t>少年部</t>
    <rPh sb="0" eb="3">
      <t>ショウネンブ</t>
    </rPh>
    <phoneticPr fontId="2"/>
  </si>
  <si>
    <t>高橋（し）理事</t>
    <rPh sb="0" eb="2">
      <t>タカハシ</t>
    </rPh>
    <rPh sb="5" eb="7">
      <t>リジ</t>
    </rPh>
    <phoneticPr fontId="2"/>
  </si>
  <si>
    <t>コードの意味</t>
    <rPh sb="4" eb="6">
      <t>イミ</t>
    </rPh>
    <phoneticPr fontId="2"/>
  </si>
  <si>
    <t>仮払い from 一般会計</t>
    <rPh sb="0" eb="2">
      <t>カリバラ</t>
    </rPh>
    <rPh sb="9" eb="11">
      <t>イッパン</t>
    </rPh>
    <rPh sb="11" eb="13">
      <t>カイケイ</t>
    </rPh>
    <phoneticPr fontId="2"/>
  </si>
  <si>
    <t>仮払い（入金）</t>
    <rPh sb="0" eb="2">
      <t>カリバラ</t>
    </rPh>
    <rPh sb="4" eb="6">
      <t>ニュウキン</t>
    </rPh>
    <phoneticPr fontId="2"/>
  </si>
  <si>
    <t>仮払い（出金）</t>
    <rPh sb="0" eb="2">
      <t>カリバラ</t>
    </rPh>
    <rPh sb="4" eb="6">
      <t>シュッキン</t>
    </rPh>
    <phoneticPr fontId="2"/>
  </si>
  <si>
    <t>奉納金　２名</t>
    <rPh sb="0" eb="3">
      <t>ホウノウキン</t>
    </rPh>
    <rPh sb="5" eb="6">
      <t>メイ</t>
    </rPh>
    <phoneticPr fontId="2"/>
  </si>
  <si>
    <t>LEDライト</t>
    <phoneticPr fontId="2"/>
  </si>
  <si>
    <t>センサーライト、マグネット</t>
    <phoneticPr fontId="2"/>
  </si>
  <si>
    <t>結束バンド、乾電池</t>
    <rPh sb="0" eb="2">
      <t>ケッソク</t>
    </rPh>
    <rPh sb="6" eb="9">
      <t>カンデンチ</t>
    </rPh>
    <phoneticPr fontId="2"/>
  </si>
  <si>
    <t>三宝（野菜・果物）</t>
    <phoneticPr fontId="2"/>
  </si>
  <si>
    <t>①7/15</t>
    <phoneticPr fontId="2"/>
  </si>
  <si>
    <t>②7/16</t>
    <phoneticPr fontId="2"/>
  </si>
  <si>
    <t>③</t>
    <phoneticPr fontId="2"/>
  </si>
  <si>
    <t>*5</t>
    <phoneticPr fontId="2"/>
  </si>
  <si>
    <t>奉納金　１９名</t>
    <rPh sb="0" eb="3">
      <t>ホウノウキン</t>
    </rPh>
    <rPh sb="6" eb="7">
      <t>メイ</t>
    </rPh>
    <phoneticPr fontId="2"/>
  </si>
  <si>
    <t>少年部への5,000含む。</t>
    <rPh sb="0" eb="3">
      <t>ショウネンブ</t>
    </rPh>
    <rPh sb="10" eb="11">
      <t>フク</t>
    </rPh>
    <phoneticPr fontId="2"/>
  </si>
  <si>
    <t>門付　２名</t>
    <rPh sb="0" eb="1">
      <t>カド</t>
    </rPh>
    <rPh sb="1" eb="2">
      <t>ツケ</t>
    </rPh>
    <rPh sb="4" eb="5">
      <t>メイ</t>
    </rPh>
    <phoneticPr fontId="2"/>
  </si>
  <si>
    <t>奉納金　５名</t>
    <rPh sb="0" eb="3">
      <t>ホウノウキン</t>
    </rPh>
    <rPh sb="5" eb="6">
      <t>メイ</t>
    </rPh>
    <phoneticPr fontId="2"/>
  </si>
  <si>
    <t>門付　３７名</t>
    <rPh sb="0" eb="1">
      <t>カド</t>
    </rPh>
    <rPh sb="1" eb="2">
      <t>ツケ</t>
    </rPh>
    <rPh sb="5" eb="6">
      <t>メイ</t>
    </rPh>
    <phoneticPr fontId="2"/>
  </si>
  <si>
    <t>門付　１名</t>
    <rPh sb="0" eb="1">
      <t>カド</t>
    </rPh>
    <rPh sb="1" eb="2">
      <t>ツケ</t>
    </rPh>
    <rPh sb="4" eb="5">
      <t>メイ</t>
    </rPh>
    <phoneticPr fontId="2"/>
  </si>
  <si>
    <t>（少年部へ）</t>
    <rPh sb="1" eb="4">
      <t>ショウネンブ</t>
    </rPh>
    <phoneticPr fontId="2"/>
  </si>
  <si>
    <t>ご祝儀</t>
    <rPh sb="1" eb="3">
      <t>シュウギ</t>
    </rPh>
    <phoneticPr fontId="2"/>
  </si>
  <si>
    <t>クリーニング（半纏）</t>
    <rPh sb="7" eb="9">
      <t>ハンテン</t>
    </rPh>
    <phoneticPr fontId="2"/>
  </si>
  <si>
    <t>入浴料</t>
    <phoneticPr fontId="2"/>
  </si>
  <si>
    <t>謝礼</t>
    <rPh sb="0" eb="2">
      <t>シャレイ</t>
    </rPh>
    <phoneticPr fontId="2"/>
  </si>
  <si>
    <t>耕平、森田</t>
    <rPh sb="0" eb="2">
      <t>コウヘイ</t>
    </rPh>
    <rPh sb="3" eb="5">
      <t>モリタ</t>
    </rPh>
    <phoneticPr fontId="2"/>
  </si>
  <si>
    <t>クリーニング（タスキ）</t>
    <phoneticPr fontId="2"/>
  </si>
  <si>
    <t>=153,900-9,900（一般会計分）</t>
    <rPh sb="15" eb="20">
      <t>イッパンカイケイブン</t>
    </rPh>
    <phoneticPr fontId="2"/>
  </si>
  <si>
    <t>7/14</t>
    <phoneticPr fontId="2"/>
  </si>
  <si>
    <t>道路証紙代金</t>
    <rPh sb="0" eb="2">
      <t>ドウロ</t>
    </rPh>
    <rPh sb="2" eb="4">
      <t>ショウシ</t>
    </rPh>
    <rPh sb="4" eb="6">
      <t>ダイキン</t>
    </rPh>
    <phoneticPr fontId="2"/>
  </si>
  <si>
    <t>氏子祭典祝儀</t>
    <rPh sb="0" eb="2">
      <t>ウジコ</t>
    </rPh>
    <rPh sb="2" eb="4">
      <t>サイテン</t>
    </rPh>
    <rPh sb="4" eb="6">
      <t>シュウギ</t>
    </rPh>
    <phoneticPr fontId="2"/>
  </si>
  <si>
    <t>船越神社</t>
    <rPh sb="0" eb="4">
      <t>フナコシジンジャ</t>
    </rPh>
    <phoneticPr fontId="2"/>
  </si>
  <si>
    <t>連合渡御反省会（５名）</t>
    <rPh sb="0" eb="2">
      <t>レンゴウ</t>
    </rPh>
    <rPh sb="2" eb="4">
      <t>トギョウ</t>
    </rPh>
    <rPh sb="4" eb="7">
      <t>ハンセイカイ</t>
    </rPh>
    <rPh sb="9" eb="10">
      <t>メイ</t>
    </rPh>
    <phoneticPr fontId="2"/>
  </si>
  <si>
    <t>連合当番（皆ヶ作）</t>
    <rPh sb="0" eb="2">
      <t>レンゴウ</t>
    </rPh>
    <rPh sb="2" eb="4">
      <t>トウバン</t>
    </rPh>
    <rPh sb="5" eb="8">
      <t>カイガサク</t>
    </rPh>
    <phoneticPr fontId="2"/>
  </si>
  <si>
    <t>田浦警察</t>
    <rPh sb="0" eb="2">
      <t>タウラ</t>
    </rPh>
    <rPh sb="2" eb="4">
      <t>ケイサツ</t>
    </rPh>
    <phoneticPr fontId="2"/>
  </si>
  <si>
    <t>お礼</t>
    <rPh sb="1" eb="2">
      <t>レイ</t>
    </rPh>
    <phoneticPr fontId="2"/>
  </si>
  <si>
    <t>懇親会</t>
    <rPh sb="0" eb="3">
      <t>コンシンカイ</t>
    </rPh>
    <phoneticPr fontId="2"/>
  </si>
  <si>
    <t>ホームズ：藁縄大巻３分(1844円)１巻＋蚊取り線香</t>
    <rPh sb="16" eb="17">
      <t>エン</t>
    </rPh>
    <rPh sb="19" eb="20">
      <t>マキ</t>
    </rPh>
    <rPh sb="21" eb="23">
      <t>カト</t>
    </rPh>
    <rPh sb="24" eb="26">
      <t>センコウ</t>
    </rPh>
    <phoneticPr fontId="30"/>
  </si>
  <si>
    <t>すずき金物：平麻６束(2,700)➡１０束</t>
    <rPh sb="3" eb="5">
      <t>カナモノ</t>
    </rPh>
    <rPh sb="20" eb="21">
      <t>タバ</t>
    </rPh>
    <phoneticPr fontId="30"/>
  </si>
  <si>
    <t>はりてる：さらし２反(2,000)➡４本</t>
    <rPh sb="9" eb="10">
      <t>タン</t>
    </rPh>
    <rPh sb="19" eb="20">
      <t>ホン</t>
    </rPh>
    <phoneticPr fontId="30"/>
  </si>
  <si>
    <t>その他</t>
    <rPh sb="2" eb="3">
      <t>タ</t>
    </rPh>
    <phoneticPr fontId="30"/>
  </si>
  <si>
    <t>神輿ライト：6,714円</t>
    <rPh sb="0" eb="2">
      <t>ミコシ</t>
    </rPh>
    <rPh sb="11" eb="12">
      <t>エン</t>
    </rPh>
    <phoneticPr fontId="30"/>
  </si>
  <si>
    <t>消耗品</t>
    <rPh sb="0" eb="3">
      <t>ショウモウヒン</t>
    </rPh>
    <phoneticPr fontId="30"/>
  </si>
  <si>
    <t>焼酎・日本酒・お茶</t>
    <rPh sb="0" eb="2">
      <t>ショウチュウ</t>
    </rPh>
    <rPh sb="3" eb="6">
      <t>ニホンシュ</t>
    </rPh>
    <rPh sb="8" eb="9">
      <t>チャ</t>
    </rPh>
    <phoneticPr fontId="30"/>
  </si>
  <si>
    <t>飲食②（お酒）</t>
    <rPh sb="0" eb="2">
      <t>インショク</t>
    </rPh>
    <rPh sb="5" eb="6">
      <t>サケ</t>
    </rPh>
    <phoneticPr fontId="30"/>
  </si>
  <si>
    <t>直会</t>
    <rPh sb="0" eb="2">
      <t>ナオライ</t>
    </rPh>
    <phoneticPr fontId="30"/>
  </si>
  <si>
    <t>日曜</t>
    <rPh sb="0" eb="2">
      <t>ニチヨウ</t>
    </rPh>
    <phoneticPr fontId="30"/>
  </si>
  <si>
    <t xml:space="preserve"> 岡本のコロッケは・・・</t>
    <rPh sb="1" eb="3">
      <t>オカモト</t>
    </rPh>
    <phoneticPr fontId="30"/>
  </si>
  <si>
    <t>本祭・神輿休憩時？</t>
    <rPh sb="0" eb="1">
      <t>ホン</t>
    </rPh>
    <rPh sb="1" eb="2">
      <t>マツ</t>
    </rPh>
    <rPh sb="3" eb="5">
      <t>ミコシ</t>
    </rPh>
    <rPh sb="5" eb="7">
      <t>キュウケイ</t>
    </rPh>
    <rPh sb="7" eb="8">
      <t>ジ</t>
    </rPh>
    <phoneticPr fontId="30"/>
  </si>
  <si>
    <t>お菓子（少年部）</t>
    <rPh sb="1" eb="3">
      <t>カシ</t>
    </rPh>
    <rPh sb="4" eb="7">
      <t>ショウネンブ</t>
    </rPh>
    <phoneticPr fontId="30"/>
  </si>
  <si>
    <t>昼食</t>
    <rPh sb="0" eb="2">
      <t>チュウショク</t>
    </rPh>
    <phoneticPr fontId="30"/>
  </si>
  <si>
    <t>昼食（少年部）</t>
    <rPh sb="0" eb="2">
      <t>チュウショク</t>
    </rPh>
    <rPh sb="3" eb="5">
      <t>ショウネン</t>
    </rPh>
    <rPh sb="5" eb="6">
      <t>ブ</t>
    </rPh>
    <phoneticPr fontId="30"/>
  </si>
  <si>
    <t>：</t>
    <phoneticPr fontId="30"/>
  </si>
  <si>
    <t>土曜</t>
    <rPh sb="0" eb="2">
      <t>ドヨウ</t>
    </rPh>
    <phoneticPr fontId="30"/>
  </si>
  <si>
    <t>宵宮・神輿休憩時？</t>
    <rPh sb="3" eb="5">
      <t>ミコシ</t>
    </rPh>
    <rPh sb="5" eb="7">
      <t>キュウケイ</t>
    </rPh>
    <rPh sb="7" eb="8">
      <t>ジ</t>
    </rPh>
    <phoneticPr fontId="30"/>
  </si>
  <si>
    <t>祭礼役員昼食　30</t>
    <phoneticPr fontId="30"/>
  </si>
  <si>
    <t>飲食①</t>
    <rPh sb="0" eb="2">
      <t>インショク</t>
    </rPh>
    <phoneticPr fontId="30"/>
  </si>
  <si>
    <t>のし、白封筒ほか</t>
    <rPh sb="3" eb="4">
      <t>シロ</t>
    </rPh>
    <rPh sb="4" eb="6">
      <t>フウトウ</t>
    </rPh>
    <phoneticPr fontId="30"/>
  </si>
  <si>
    <t>タオル300枚</t>
    <rPh sb="6" eb="7">
      <t>マイ</t>
    </rPh>
    <phoneticPr fontId="30"/>
  </si>
  <si>
    <t>寄付返礼費</t>
    <rPh sb="0" eb="2">
      <t>キフ</t>
    </rPh>
    <rPh sb="2" eb="4">
      <t>ヘンレイ</t>
    </rPh>
    <rPh sb="4" eb="5">
      <t>ヒ</t>
    </rPh>
    <phoneticPr fontId="30"/>
  </si>
  <si>
    <t>祭礼用具</t>
    <rPh sb="0" eb="2">
      <t>サイレイ</t>
    </rPh>
    <rPh sb="2" eb="4">
      <t>ヨウグ</t>
    </rPh>
    <phoneticPr fontId="30"/>
  </si>
  <si>
    <t>八百武 （R1） 9,500円</t>
    <rPh sb="14" eb="15">
      <t>エン</t>
    </rPh>
    <phoneticPr fontId="30"/>
  </si>
  <si>
    <t>三宝（野菜・果物）</t>
    <rPh sb="0" eb="2">
      <t>サンボウ</t>
    </rPh>
    <rPh sb="3" eb="5">
      <t>ヤサイ</t>
    </rPh>
    <rPh sb="6" eb="8">
      <t>クダモノ</t>
    </rPh>
    <phoneticPr fontId="30"/>
  </si>
  <si>
    <t>鏡餅・赤飯</t>
    <rPh sb="0" eb="2">
      <t>カガミモチ</t>
    </rPh>
    <rPh sb="3" eb="5">
      <t>セキハン</t>
    </rPh>
    <phoneticPr fontId="30"/>
  </si>
  <si>
    <t>お供物</t>
    <phoneticPr fontId="30"/>
  </si>
  <si>
    <t>飲み物</t>
    <rPh sb="0" eb="1">
      <t>ノ</t>
    </rPh>
    <rPh sb="2" eb="3">
      <t>モノ</t>
    </rPh>
    <phoneticPr fontId="30"/>
  </si>
  <si>
    <t>ニサン（オードブル）</t>
    <phoneticPr fontId="30"/>
  </si>
  <si>
    <t>串一（やきとり盛り合わせ）</t>
    <rPh sb="0" eb="1">
      <t>クシ</t>
    </rPh>
    <rPh sb="1" eb="2">
      <t>イチ</t>
    </rPh>
    <rPh sb="7" eb="8">
      <t>モ</t>
    </rPh>
    <rPh sb="9" eb="10">
      <t>ア</t>
    </rPh>
    <phoneticPr fontId="30"/>
  </si>
  <si>
    <t>祭礼片付け</t>
    <rPh sb="0" eb="2">
      <t>サイレイ</t>
    </rPh>
    <rPh sb="2" eb="4">
      <t>カタヅ</t>
    </rPh>
    <phoneticPr fontId="30"/>
  </si>
  <si>
    <t>準備③ 祭礼前日</t>
    <rPh sb="0" eb="2">
      <t>ジュンビ</t>
    </rPh>
    <rPh sb="4" eb="6">
      <t>サイレイ</t>
    </rPh>
    <rPh sb="6" eb="8">
      <t>ゼンジツ</t>
    </rPh>
    <phoneticPr fontId="30"/>
  </si>
  <si>
    <t>準備② ７月９日</t>
    <rPh sb="0" eb="2">
      <t>ジュンビ</t>
    </rPh>
    <rPh sb="5" eb="6">
      <t>ガツ</t>
    </rPh>
    <rPh sb="7" eb="8">
      <t>ニチ</t>
    </rPh>
    <phoneticPr fontId="30"/>
  </si>
  <si>
    <t>準備① ６月１８日</t>
    <rPh sb="0" eb="2">
      <t>ジュンビ</t>
    </rPh>
    <phoneticPr fontId="30"/>
  </si>
  <si>
    <t>保存会支援</t>
    <rPh sb="0" eb="3">
      <t>ホゾンカイ</t>
    </rPh>
    <rPh sb="3" eb="5">
      <t>シエン</t>
    </rPh>
    <phoneticPr fontId="30"/>
  </si>
  <si>
    <t>9256円</t>
    <rPh sb="4" eb="5">
      <t>エン</t>
    </rPh>
    <phoneticPr fontId="30"/>
  </si>
  <si>
    <t>６月後半打合せ</t>
    <rPh sb="1" eb="2">
      <t>ガツ</t>
    </rPh>
    <rPh sb="2" eb="4">
      <t>コウハン</t>
    </rPh>
    <phoneticPr fontId="30"/>
  </si>
  <si>
    <t>8000円</t>
    <rPh sb="4" eb="5">
      <t>エン</t>
    </rPh>
    <phoneticPr fontId="30"/>
  </si>
  <si>
    <t>田浦と祭礼打合せ会費</t>
    <rPh sb="8" eb="10">
      <t>カイヒ</t>
    </rPh>
    <phoneticPr fontId="30"/>
  </si>
  <si>
    <t>祭礼準備／片付</t>
    <rPh sb="0" eb="2">
      <t>サイレイ</t>
    </rPh>
    <rPh sb="2" eb="4">
      <t>ジュンビ</t>
    </rPh>
    <rPh sb="5" eb="7">
      <t>カタヅ</t>
    </rPh>
    <phoneticPr fontId="30"/>
  </si>
  <si>
    <t>連合町内分担金</t>
    <rPh sb="0" eb="2">
      <t>レンゴウ</t>
    </rPh>
    <rPh sb="2" eb="4">
      <t>チョウナイ</t>
    </rPh>
    <rPh sb="4" eb="7">
      <t>ブンタンキン</t>
    </rPh>
    <phoneticPr fontId="30"/>
  </si>
  <si>
    <t>8500円</t>
    <rPh sb="4" eb="5">
      <t>エン</t>
    </rPh>
    <phoneticPr fontId="30"/>
  </si>
  <si>
    <t>分担 神社金</t>
    <rPh sb="0" eb="2">
      <t>ブンタン</t>
    </rPh>
    <rPh sb="3" eb="5">
      <t>ジンジャ</t>
    </rPh>
    <rPh sb="5" eb="6">
      <t>キン</t>
    </rPh>
    <phoneticPr fontId="30"/>
  </si>
  <si>
    <t>収支差</t>
    <rPh sb="0" eb="2">
      <t>シュウシ</t>
    </rPh>
    <rPh sb="2" eb="3">
      <t>サ</t>
    </rPh>
    <phoneticPr fontId="30"/>
  </si>
  <si>
    <t>渉外費</t>
    <rPh sb="0" eb="2">
      <t>ショウガイ</t>
    </rPh>
    <rPh sb="2" eb="3">
      <t>ヒ</t>
    </rPh>
    <phoneticPr fontId="30"/>
  </si>
  <si>
    <t>道路使用許可（雑費）</t>
    <rPh sb="0" eb="2">
      <t>ドウロ</t>
    </rPh>
    <rPh sb="2" eb="6">
      <t>シヨウキョカ</t>
    </rPh>
    <rPh sb="7" eb="9">
      <t>ザッピ</t>
    </rPh>
    <phoneticPr fontId="30"/>
  </si>
  <si>
    <t>繰越金を除く：</t>
    <rPh sb="0" eb="3">
      <t>クリコシキン</t>
    </rPh>
    <rPh sb="4" eb="5">
      <t>ノゾ</t>
    </rPh>
    <phoneticPr fontId="30"/>
  </si>
  <si>
    <t>連合渡御・反省会</t>
    <rPh sb="0" eb="2">
      <t>レンゴウ</t>
    </rPh>
    <rPh sb="2" eb="4">
      <t>トギョ</t>
    </rPh>
    <rPh sb="5" eb="7">
      <t>ハンセイ</t>
    </rPh>
    <rPh sb="7" eb="8">
      <t>カイ</t>
    </rPh>
    <phoneticPr fontId="30"/>
  </si>
  <si>
    <t>門付け分配金</t>
    <rPh sb="0" eb="2">
      <t>カドヅ</t>
    </rPh>
    <rPh sb="3" eb="5">
      <t>ブンパイ</t>
    </rPh>
    <rPh sb="5" eb="6">
      <t>キン</t>
    </rPh>
    <phoneticPr fontId="30"/>
  </si>
  <si>
    <t>変動費</t>
    <rPh sb="0" eb="2">
      <t>ヘンドウ</t>
    </rPh>
    <rPh sb="2" eb="3">
      <t>ヒ</t>
    </rPh>
    <phoneticPr fontId="30"/>
  </si>
  <si>
    <t>固定費</t>
    <rPh sb="0" eb="3">
      <t>コテイヒ</t>
    </rPh>
    <phoneticPr fontId="30"/>
  </si>
  <si>
    <t>次年度繰越金</t>
    <rPh sb="0" eb="3">
      <t>ジネンド</t>
    </rPh>
    <rPh sb="3" eb="5">
      <t>クリコシ</t>
    </rPh>
    <rPh sb="5" eb="6">
      <t>キン</t>
    </rPh>
    <phoneticPr fontId="30"/>
  </si>
  <si>
    <t>支出</t>
    <rPh sb="0" eb="2">
      <t>シシュツ</t>
    </rPh>
    <phoneticPr fontId="30"/>
  </si>
  <si>
    <t>連合渡御・当番</t>
    <rPh sb="0" eb="2">
      <t>レンゴウ</t>
    </rPh>
    <rPh sb="5" eb="7">
      <t>トウバン</t>
    </rPh>
    <phoneticPr fontId="30"/>
  </si>
  <si>
    <t>門付け 40名</t>
    <rPh sb="0" eb="2">
      <t>カドヅ</t>
    </rPh>
    <rPh sb="6" eb="7">
      <t>メイ</t>
    </rPh>
    <phoneticPr fontId="30"/>
  </si>
  <si>
    <t>奉納金 27名</t>
    <rPh sb="0" eb="3">
      <t>ホウノウキン</t>
    </rPh>
    <rPh sb="6" eb="7">
      <t>メイ</t>
    </rPh>
    <phoneticPr fontId="30"/>
  </si>
  <si>
    <t>会員寄付金 176世帯</t>
    <rPh sb="0" eb="2">
      <t>カイイン</t>
    </rPh>
    <rPh sb="2" eb="5">
      <t>キフキン</t>
    </rPh>
    <rPh sb="9" eb="11">
      <t>セタイ</t>
    </rPh>
    <phoneticPr fontId="30"/>
  </si>
  <si>
    <t>前年度繰越金</t>
    <rPh sb="0" eb="3">
      <t>ゼンネンド</t>
    </rPh>
    <rPh sb="3" eb="6">
      <t>クリコシキン</t>
    </rPh>
    <phoneticPr fontId="30"/>
  </si>
  <si>
    <t>収入</t>
    <rPh sb="0" eb="2">
      <t>シュウニュウ</t>
    </rPh>
    <phoneticPr fontId="30"/>
  </si>
  <si>
    <t>(R1)32名＝164,005円</t>
    <rPh sb="6" eb="7">
      <t>メイ</t>
    </rPh>
    <rPh sb="15" eb="16">
      <t>エン</t>
    </rPh>
    <phoneticPr fontId="30"/>
  </si>
  <si>
    <t>(R1)28名＝189,000円</t>
    <rPh sb="6" eb="7">
      <t>メイ</t>
    </rPh>
    <rPh sb="15" eb="16">
      <t>エン</t>
    </rPh>
    <phoneticPr fontId="30"/>
  </si>
  <si>
    <t>(R1)175世帯=475,000円</t>
    <phoneticPr fontId="30"/>
  </si>
  <si>
    <t>（祭礼会計）決算書の集計対象外</t>
    <rPh sb="1" eb="3">
      <t>サイレイ</t>
    </rPh>
    <rPh sb="3" eb="5">
      <t>カイケイ</t>
    </rPh>
    <rPh sb="6" eb="9">
      <t xml:space="preserve">ケッサンショ </t>
    </rPh>
    <rPh sb="10" eb="15">
      <t xml:space="preserve">シュウケイタイショウガイ </t>
    </rPh>
    <phoneticPr fontId="2"/>
  </si>
  <si>
    <t>お茶600cc×48本</t>
    <rPh sb="1" eb="2">
      <t>チャ</t>
    </rPh>
    <rPh sb="10" eb="11">
      <t>ホン</t>
    </rPh>
    <phoneticPr fontId="2"/>
  </si>
  <si>
    <t>氷×21個、漬物</t>
    <rPh sb="0" eb="1">
      <t>コオリ</t>
    </rPh>
    <rPh sb="4" eb="5">
      <t>コ</t>
    </rPh>
    <rPh sb="6" eb="8">
      <t>ツケモノ</t>
    </rPh>
    <phoneticPr fontId="2"/>
  </si>
  <si>
    <t>赤飯</t>
    <rPh sb="0" eb="2">
      <t>セキハン</t>
    </rPh>
    <phoneticPr fontId="2"/>
  </si>
  <si>
    <t>セブンイレブン</t>
    <phoneticPr fontId="2"/>
  </si>
  <si>
    <t>キリン一番搾りほか飲み物</t>
    <rPh sb="3" eb="6">
      <t>イチバンシボ</t>
    </rPh>
    <rPh sb="9" eb="10">
      <t>ノ</t>
    </rPh>
    <rPh sb="11" eb="12">
      <t>モノ</t>
    </rPh>
    <phoneticPr fontId="2"/>
  </si>
  <si>
    <t>スパードライほか飲み物</t>
    <rPh sb="8" eb="9">
      <t>ノ</t>
    </rPh>
    <rPh sb="10" eb="11">
      <t>モノ</t>
    </rPh>
    <phoneticPr fontId="2"/>
  </si>
  <si>
    <t>祭礼準備昼食弁当代</t>
    <rPh sb="0" eb="2">
      <t>サイレイ</t>
    </rPh>
    <rPh sb="2" eb="4">
      <t>ジュンビ</t>
    </rPh>
    <rPh sb="4" eb="6">
      <t>チュウショク</t>
    </rPh>
    <rPh sb="6" eb="8">
      <t>ベントウ</t>
    </rPh>
    <rPh sb="8" eb="9">
      <t>ダイ</t>
    </rPh>
    <phoneticPr fontId="2"/>
  </si>
  <si>
    <t>わら縄大巻１，渦巻き香ジャンボ50巻</t>
    <rPh sb="2" eb="3">
      <t>ナワ</t>
    </rPh>
    <rPh sb="3" eb="5">
      <t>オオマキ</t>
    </rPh>
    <rPh sb="7" eb="9">
      <t>ウズマ</t>
    </rPh>
    <rPh sb="10" eb="11">
      <t>コウ</t>
    </rPh>
    <rPh sb="17" eb="18">
      <t>マキ</t>
    </rPh>
    <phoneticPr fontId="2"/>
  </si>
  <si>
    <t>さらし＠1950円×4</t>
    <rPh sb="8" eb="9">
      <t>エン</t>
    </rPh>
    <phoneticPr fontId="2"/>
  </si>
  <si>
    <t>平麻１０本</t>
    <rPh sb="0" eb="2">
      <t>ヒラアサ</t>
    </rPh>
    <rPh sb="4" eb="5">
      <t>ホン</t>
    </rPh>
    <phoneticPr fontId="2"/>
  </si>
  <si>
    <t>４町内連合渡御　分担金</t>
    <rPh sb="1" eb="3">
      <t>チョウナイ</t>
    </rPh>
    <rPh sb="3" eb="5">
      <t>レンゴウ</t>
    </rPh>
    <rPh sb="5" eb="7">
      <t>トギョウ</t>
    </rPh>
    <rPh sb="8" eb="11">
      <t>ブンタンキン</t>
    </rPh>
    <phoneticPr fontId="2"/>
  </si>
  <si>
    <t>神社分担金</t>
    <phoneticPr fontId="2"/>
  </si>
  <si>
    <t>連合渡御当番（皆ヶ作）</t>
    <rPh sb="0" eb="2">
      <t>レンゴウ</t>
    </rPh>
    <rPh sb="2" eb="4">
      <t>トギョウ</t>
    </rPh>
    <rPh sb="4" eb="6">
      <t>トウバン</t>
    </rPh>
    <rPh sb="7" eb="10">
      <t>カイガサク</t>
    </rPh>
    <phoneticPr fontId="2"/>
  </si>
  <si>
    <t>４町内連合渡御　反省会 5名</t>
    <rPh sb="1" eb="3">
      <t>チョウナイ</t>
    </rPh>
    <rPh sb="3" eb="5">
      <t>レンゴウ</t>
    </rPh>
    <rPh sb="5" eb="7">
      <t>トギョウ</t>
    </rPh>
    <rPh sb="8" eb="11">
      <t>ハンセイカイ</t>
    </rPh>
    <rPh sb="13" eb="14">
      <t>メイ</t>
    </rPh>
    <phoneticPr fontId="2"/>
  </si>
  <si>
    <t>片付け後の食事</t>
    <rPh sb="0" eb="2">
      <t>カタヅ</t>
    </rPh>
    <rPh sb="3" eb="4">
      <t>ゴ</t>
    </rPh>
    <rPh sb="5" eb="7">
      <t>ショクジ</t>
    </rPh>
    <phoneticPr fontId="2"/>
  </si>
  <si>
    <t>片付け後の飲み物</t>
    <rPh sb="0" eb="2">
      <t>カタヅ</t>
    </rPh>
    <rPh sb="3" eb="4">
      <t>ゴ</t>
    </rPh>
    <rPh sb="5" eb="6">
      <t>ノ</t>
    </rPh>
    <rPh sb="7" eb="8">
      <t>モノ</t>
    </rPh>
    <phoneticPr fontId="2"/>
  </si>
  <si>
    <t>少年部支出の清算</t>
    <rPh sb="0" eb="3">
      <t>ショウネンブ</t>
    </rPh>
    <rPh sb="3" eb="5">
      <t>シシュツ</t>
    </rPh>
    <rPh sb="6" eb="8">
      <t>セイサン</t>
    </rPh>
    <phoneticPr fontId="2"/>
  </si>
  <si>
    <t>齋藤副会長立替の清算</t>
    <rPh sb="0" eb="2">
      <t>サイトウ</t>
    </rPh>
    <rPh sb="2" eb="3">
      <t>フク</t>
    </rPh>
    <rPh sb="3" eb="5">
      <t>カイチョウ</t>
    </rPh>
    <rPh sb="5" eb="7">
      <t>タテカエ</t>
    </rPh>
    <rPh sb="8" eb="10">
      <t>セイサン</t>
    </rPh>
    <phoneticPr fontId="2"/>
  </si>
  <si>
    <t>高橋しのぶ理事の清算</t>
    <rPh sb="0" eb="2">
      <t>タカハシ</t>
    </rPh>
    <rPh sb="5" eb="7">
      <t>リジ</t>
    </rPh>
    <rPh sb="8" eb="10">
      <t>セイサン</t>
    </rPh>
    <phoneticPr fontId="2"/>
  </si>
  <si>
    <t>一般会計への返金</t>
    <rPh sb="0" eb="4">
      <t>イッパンカイケイ</t>
    </rPh>
    <rPh sb="6" eb="8">
      <t>ヘンキン</t>
    </rPh>
    <phoneticPr fontId="2"/>
  </si>
  <si>
    <t>門付け分配</t>
    <rPh sb="0" eb="2">
      <t>カドヅ</t>
    </rPh>
    <rPh sb="3" eb="5">
      <t>ブンパイ</t>
    </rPh>
    <phoneticPr fontId="2"/>
  </si>
  <si>
    <t>12912円</t>
    <rPh sb="5" eb="6">
      <t>エン</t>
    </rPh>
    <phoneticPr fontId="2"/>
  </si>
  <si>
    <t>20670円</t>
    <rPh sb="5" eb="6">
      <t>エン</t>
    </rPh>
    <phoneticPr fontId="2"/>
  </si>
  <si>
    <t>ロックアイスほか</t>
    <phoneticPr fontId="30"/>
  </si>
  <si>
    <t>52095円</t>
    <rPh sb="5" eb="6">
      <t>エン</t>
    </rPh>
    <phoneticPr fontId="2"/>
  </si>
  <si>
    <t>ビール14ケース（45056円）</t>
    <rPh sb="14" eb="15">
      <t>エン</t>
    </rPh>
    <phoneticPr fontId="2"/>
  </si>
  <si>
    <t xml:space="preserve">ビール </t>
    <phoneticPr fontId="30"/>
  </si>
  <si>
    <t>乾電池・筆ぺんほか</t>
    <rPh sb="0" eb="3">
      <t>カンデンチ</t>
    </rPh>
    <rPh sb="4" eb="5">
      <t>フデ</t>
    </rPh>
    <phoneticPr fontId="30"/>
  </si>
  <si>
    <t>(R1)焼酎6・日本酒 1（11,000円）</t>
    <rPh sb="20" eb="21">
      <t>エン</t>
    </rPh>
    <phoneticPr fontId="30"/>
  </si>
  <si>
    <t>焼酎6</t>
    <rPh sb="0" eb="2">
      <t>ショウチュウ</t>
    </rPh>
    <phoneticPr fontId="30"/>
  </si>
  <si>
    <t>新半纏</t>
    <rPh sb="0" eb="3">
      <t>シンハンテン</t>
    </rPh>
    <phoneticPr fontId="2"/>
  </si>
  <si>
    <t>(R1)58000円</t>
    <rPh sb="9" eb="10">
      <t>エン</t>
    </rPh>
    <phoneticPr fontId="2"/>
  </si>
  <si>
    <t>(R1)356,565円</t>
    <rPh sb="11" eb="12">
      <t>エン</t>
    </rPh>
    <phoneticPr fontId="2"/>
  </si>
  <si>
    <t>スパーク浦郷店</t>
    <phoneticPr fontId="2"/>
  </si>
  <si>
    <t>↑</t>
    <phoneticPr fontId="2"/>
  </si>
  <si>
    <t>：</t>
    <phoneticPr fontId="2"/>
  </si>
  <si>
    <t>(R1)88984円</t>
    <rPh sb="9" eb="10">
      <t>エン</t>
    </rPh>
    <phoneticPr fontId="2"/>
  </si>
  <si>
    <t>タオル(配布用) 600枚</t>
    <rPh sb="12" eb="13">
      <t>マイ</t>
    </rPh>
    <phoneticPr fontId="30"/>
  </si>
  <si>
    <t>…単価約148円</t>
    <rPh sb="1" eb="3">
      <t>タンカ</t>
    </rPh>
    <rPh sb="3" eb="4">
      <t>ヤク</t>
    </rPh>
    <rPh sb="7" eb="8">
      <t>エン</t>
    </rPh>
    <phoneticPr fontId="2"/>
  </si>
  <si>
    <t>(R1)400枚（49271円）…単価約123円</t>
    <rPh sb="7" eb="8">
      <t>マイ</t>
    </rPh>
    <rPh sb="14" eb="15">
      <t>エン</t>
    </rPh>
    <rPh sb="17" eb="19">
      <t>タンカ</t>
    </rPh>
    <rPh sb="19" eb="20">
      <t>ヤク</t>
    </rPh>
    <rPh sb="23" eb="24">
      <t>エン</t>
    </rPh>
    <phoneticPr fontId="2"/>
  </si>
  <si>
    <t>お風呂券 11枚</t>
    <rPh sb="1" eb="3">
      <t>フロ</t>
    </rPh>
    <rPh sb="3" eb="4">
      <t>ケン</t>
    </rPh>
    <rPh sb="7" eb="8">
      <t>マイ</t>
    </rPh>
    <phoneticPr fontId="30"/>
  </si>
  <si>
    <t>（R1）22枚　10,340円</t>
    <rPh sb="6" eb="7">
      <t>マイ</t>
    </rPh>
    <rPh sb="14" eb="15">
      <t>エン</t>
    </rPh>
    <phoneticPr fontId="30"/>
  </si>
  <si>
    <t>その他（雑費）</t>
    <rPh sb="2" eb="3">
      <t>タ</t>
    </rPh>
    <rPh sb="4" eb="6">
      <t>ザッピ</t>
    </rPh>
    <phoneticPr fontId="30"/>
  </si>
  <si>
    <t>クリーニング（雑費）</t>
    <rPh sb="7" eb="9">
      <t>ザッピ</t>
    </rPh>
    <phoneticPr fontId="30"/>
  </si>
  <si>
    <t>各種謝礼（雑費）</t>
    <rPh sb="0" eb="2">
      <t>カクシュ</t>
    </rPh>
    <rPh sb="2" eb="4">
      <t>シャレイ</t>
    </rPh>
    <phoneticPr fontId="30"/>
  </si>
  <si>
    <t>少年部経費</t>
    <rPh sb="0" eb="2">
      <t>ショウネン</t>
    </rPh>
    <rPh sb="2" eb="3">
      <t>ブ</t>
    </rPh>
    <rPh sb="3" eb="5">
      <t>ケイヒ</t>
    </rPh>
    <phoneticPr fontId="30"/>
  </si>
  <si>
    <t>※お賽銭(1万円)、日本酒オークション2,800円を含む。</t>
    <rPh sb="2" eb="4">
      <t>サイセン</t>
    </rPh>
    <rPh sb="6" eb="8">
      <t>マンエン</t>
    </rPh>
    <rPh sb="10" eb="13">
      <t>ニホンシュ</t>
    </rPh>
    <rPh sb="24" eb="25">
      <t>エン</t>
    </rPh>
    <rPh sb="26" eb="27">
      <t>フク</t>
    </rPh>
    <phoneticPr fontId="2"/>
  </si>
  <si>
    <t>（R4）決算書より</t>
    <rPh sb="4" eb="7">
      <t>ケッサンショ</t>
    </rPh>
    <phoneticPr fontId="30"/>
  </si>
  <si>
    <t>項目</t>
    <rPh sb="0" eb="2">
      <t>コウモク</t>
    </rPh>
    <phoneticPr fontId="2"/>
  </si>
  <si>
    <t>前年度繰越金</t>
    <phoneticPr fontId="2"/>
  </si>
  <si>
    <t>前年度繰越金</t>
    <rPh sb="0" eb="3">
      <t>ゼンネンド</t>
    </rPh>
    <rPh sb="3" eb="6">
      <t>クリコシキン</t>
    </rPh>
    <phoneticPr fontId="2"/>
  </si>
  <si>
    <t>会員寄付金</t>
    <rPh sb="0" eb="2">
      <t>カイイン</t>
    </rPh>
    <rPh sb="2" eb="5">
      <t>キフキン</t>
    </rPh>
    <phoneticPr fontId="2"/>
  </si>
  <si>
    <t>雑収入</t>
    <rPh sb="0" eb="1">
      <t>ザツ</t>
    </rPh>
    <rPh sb="1" eb="3">
      <t>シュウニュウ</t>
    </rPh>
    <phoneticPr fontId="2"/>
  </si>
  <si>
    <t>連合渡御分担金</t>
    <rPh sb="0" eb="2">
      <t>レンゴウ</t>
    </rPh>
    <rPh sb="2" eb="4">
      <t>トギョウ</t>
    </rPh>
    <rPh sb="4" eb="7">
      <t>ブンタンキン</t>
    </rPh>
    <phoneticPr fontId="2"/>
  </si>
  <si>
    <t>会員寄付金</t>
    <rPh sb="0" eb="2">
      <t>カイイン</t>
    </rPh>
    <phoneticPr fontId="2"/>
  </si>
  <si>
    <t>奉納金</t>
    <phoneticPr fontId="2"/>
  </si>
  <si>
    <t>門付</t>
    <phoneticPr fontId="2"/>
  </si>
  <si>
    <t>雑収入</t>
    <phoneticPr fontId="2"/>
  </si>
  <si>
    <t>連合渡御分担金</t>
    <phoneticPr fontId="2"/>
  </si>
  <si>
    <t>食事・飲み物（酒以外）等</t>
    <rPh sb="0" eb="2">
      <t>ショクジ</t>
    </rPh>
    <rPh sb="3" eb="4">
      <t>ノ</t>
    </rPh>
    <rPh sb="5" eb="6">
      <t>モノ</t>
    </rPh>
    <rPh sb="7" eb="8">
      <t>サケ</t>
    </rPh>
    <rPh sb="8" eb="10">
      <t>イガイ</t>
    </rPh>
    <phoneticPr fontId="2"/>
  </si>
  <si>
    <t>お酒類</t>
    <rPh sb="1" eb="2">
      <t>サケ</t>
    </rPh>
    <rPh sb="2" eb="3">
      <t>ルイ</t>
    </rPh>
    <phoneticPr fontId="2"/>
  </si>
  <si>
    <t>お酒類</t>
    <rPh sb="1" eb="2">
      <t>サケ</t>
    </rPh>
    <rPh sb="2" eb="3">
      <t>ルイ</t>
    </rPh>
    <phoneticPr fontId="2"/>
  </si>
  <si>
    <t>Ｒ５収入</t>
    <rPh sb="2" eb="4">
      <t>シュウニュウ</t>
    </rPh>
    <phoneticPr fontId="2"/>
  </si>
  <si>
    <t>Ｒ１収入</t>
    <rPh sb="2" eb="4">
      <t>シュウニュウ</t>
    </rPh>
    <phoneticPr fontId="2"/>
  </si>
  <si>
    <t>Ｒ５支出</t>
    <rPh sb="2" eb="4">
      <t>シシュツ</t>
    </rPh>
    <phoneticPr fontId="2"/>
  </si>
  <si>
    <t>Ｒ１支出</t>
    <rPh sb="2" eb="4">
      <t>シシュツ</t>
    </rPh>
    <phoneticPr fontId="2"/>
  </si>
  <si>
    <t>飲物・食物費</t>
    <rPh sb="0" eb="2">
      <t>ノミモノ</t>
    </rPh>
    <rPh sb="3" eb="4">
      <t>タ</t>
    </rPh>
    <rPh sb="4" eb="5">
      <t>モノ</t>
    </rPh>
    <phoneticPr fontId="2"/>
  </si>
  <si>
    <t>飲物・食物費</t>
    <rPh sb="0" eb="2">
      <t>ノミモノ</t>
    </rPh>
    <rPh sb="3" eb="6">
      <t>ショクモツヒ</t>
    </rPh>
    <phoneticPr fontId="2"/>
  </si>
  <si>
    <t>食事・飲み物（酒以外）</t>
    <phoneticPr fontId="2"/>
  </si>
  <si>
    <t>お酒類</t>
    <phoneticPr fontId="2"/>
  </si>
  <si>
    <t>お供物費</t>
    <rPh sb="1" eb="3">
      <t>クモツ</t>
    </rPh>
    <rPh sb="3" eb="4">
      <t>ヒ</t>
    </rPh>
    <phoneticPr fontId="2"/>
  </si>
  <si>
    <t>神社等分担金</t>
    <rPh sb="0" eb="2">
      <t>ジンジャ</t>
    </rPh>
    <rPh sb="2" eb="3">
      <t>トウ</t>
    </rPh>
    <rPh sb="3" eb="6">
      <t>ブンタンキン</t>
    </rPh>
    <phoneticPr fontId="2"/>
  </si>
  <si>
    <t>焼酎、日本酒他</t>
    <rPh sb="0" eb="2">
      <t>ショウチュウ</t>
    </rPh>
    <rPh sb="3" eb="6">
      <t>ニホンシュ</t>
    </rPh>
    <rPh sb="6" eb="7">
      <t>タ</t>
    </rPh>
    <phoneticPr fontId="2"/>
  </si>
  <si>
    <t>祭礼用飲料　お茶・缶コーヒー他</t>
    <rPh sb="0" eb="3">
      <t>サイレイヨウ</t>
    </rPh>
    <rPh sb="3" eb="5">
      <t>インリョウ</t>
    </rPh>
    <rPh sb="7" eb="8">
      <t>チャ</t>
    </rPh>
    <rPh sb="9" eb="10">
      <t>カン</t>
    </rPh>
    <rPh sb="14" eb="15">
      <t>タ</t>
    </rPh>
    <phoneticPr fontId="2"/>
  </si>
  <si>
    <t>ave</t>
    <phoneticPr fontId="2"/>
  </si>
  <si>
    <t>お菓子類・飲み物(子供用)+送料</t>
    <rPh sb="1" eb="4">
      <t>カシルイ</t>
    </rPh>
    <rPh sb="5" eb="6">
      <t>ノ</t>
    </rPh>
    <rPh sb="7" eb="8">
      <t>モノ</t>
    </rPh>
    <rPh sb="9" eb="11">
      <t>コドモ</t>
    </rPh>
    <rPh sb="11" eb="12">
      <t>ヨウ</t>
    </rPh>
    <rPh sb="14" eb="16">
      <t>ソウリョウ</t>
    </rPh>
    <phoneticPr fontId="2"/>
  </si>
  <si>
    <t>食材費他</t>
    <rPh sb="0" eb="2">
      <t>ショクザイ</t>
    </rPh>
    <rPh sb="2" eb="3">
      <t>ヒ</t>
    </rPh>
    <rPh sb="3" eb="4">
      <t>タ</t>
    </rPh>
    <phoneticPr fontId="2"/>
  </si>
  <si>
    <t>イオン</t>
    <phoneticPr fontId="2"/>
  </si>
  <si>
    <t>米、豆腐他</t>
    <rPh sb="0" eb="1">
      <t>コメ</t>
    </rPh>
    <rPh sb="2" eb="4">
      <t>トウフ</t>
    </rPh>
    <rPh sb="4" eb="5">
      <t>タ</t>
    </rPh>
    <phoneticPr fontId="2"/>
  </si>
  <si>
    <t>食材各種</t>
    <rPh sb="0" eb="2">
      <t>ショクザイ</t>
    </rPh>
    <rPh sb="2" eb="4">
      <t>カクシュ</t>
    </rPh>
    <phoneticPr fontId="2"/>
  </si>
  <si>
    <t>京急ストア追浜店</t>
    <rPh sb="0" eb="2">
      <t>ケイキュウ</t>
    </rPh>
    <rPh sb="5" eb="8">
      <t>オッパマテン</t>
    </rPh>
    <phoneticPr fontId="2"/>
  </si>
  <si>
    <t>ビール淡麗生14ケース</t>
    <rPh sb="3" eb="5">
      <t>タンレイ</t>
    </rPh>
    <rPh sb="5" eb="6">
      <t>ナマ</t>
    </rPh>
    <phoneticPr fontId="2"/>
  </si>
  <si>
    <t>緑茶3ケース　つまみ他</t>
    <rPh sb="0" eb="2">
      <t>リョクチャ</t>
    </rPh>
    <rPh sb="10" eb="11">
      <t>タ</t>
    </rPh>
    <phoneticPr fontId="2"/>
  </si>
  <si>
    <t>業務スーパー</t>
    <rPh sb="0" eb="2">
      <t>ギョウム</t>
    </rPh>
    <phoneticPr fontId="2"/>
  </si>
  <si>
    <t>カフェラテ　</t>
    <phoneticPr fontId="2"/>
  </si>
  <si>
    <t>たまご</t>
    <phoneticPr fontId="2"/>
  </si>
  <si>
    <t>ロックアイス、漬物</t>
    <rPh sb="7" eb="9">
      <t>ツケモノ</t>
    </rPh>
    <phoneticPr fontId="2"/>
  </si>
  <si>
    <t>ローソン</t>
    <phoneticPr fontId="2"/>
  </si>
  <si>
    <t>巻き物　12</t>
    <rPh sb="0" eb="1">
      <t>マ</t>
    </rPh>
    <rPh sb="2" eb="3">
      <t>モノ</t>
    </rPh>
    <phoneticPr fontId="2"/>
  </si>
  <si>
    <t>いさみ鮨</t>
    <rPh sb="3" eb="4">
      <t>スシ</t>
    </rPh>
    <phoneticPr fontId="2"/>
  </si>
  <si>
    <t>ロックアイス　20</t>
    <phoneticPr fontId="2"/>
  </si>
  <si>
    <t>焼き豚</t>
    <rPh sb="0" eb="1">
      <t>ヤ</t>
    </rPh>
    <rPh sb="2" eb="3">
      <t>ブタ</t>
    </rPh>
    <phoneticPr fontId="2"/>
  </si>
  <si>
    <t>岡本肉店</t>
    <rPh sb="0" eb="2">
      <t>オカモト</t>
    </rPh>
    <rPh sb="2" eb="4">
      <t>ニクテン</t>
    </rPh>
    <phoneticPr fontId="2"/>
  </si>
  <si>
    <t>オードブル他</t>
    <rPh sb="5" eb="6">
      <t>タ</t>
    </rPh>
    <phoneticPr fontId="2"/>
  </si>
  <si>
    <t>はんぺん、ちくわ、こんにゃく、氷</t>
    <rPh sb="15" eb="16">
      <t>コオリ</t>
    </rPh>
    <phoneticPr fontId="2"/>
  </si>
  <si>
    <t>魚広</t>
    <rPh sb="0" eb="1">
      <t>ウオ</t>
    </rPh>
    <rPh sb="1" eb="2">
      <t>ヒロ</t>
    </rPh>
    <phoneticPr fontId="2"/>
  </si>
  <si>
    <t>たくあん</t>
    <phoneticPr fontId="2"/>
  </si>
  <si>
    <t>八百武</t>
    <rPh sb="0" eb="3">
      <t>ヤオタケ</t>
    </rPh>
    <phoneticPr fontId="2"/>
  </si>
  <si>
    <t>コロッケ75個</t>
    <rPh sb="6" eb="7">
      <t>コ</t>
    </rPh>
    <phoneticPr fontId="2"/>
  </si>
  <si>
    <t>小　計</t>
    <rPh sb="0" eb="1">
      <t>ショウ</t>
    </rPh>
    <rPh sb="2" eb="3">
      <t>ケイ</t>
    </rPh>
    <phoneticPr fontId="2"/>
  </si>
  <si>
    <t>鏡餅　赤飯</t>
    <rPh sb="0" eb="2">
      <t>カガミモチ</t>
    </rPh>
    <rPh sb="3" eb="5">
      <t>セキハン</t>
    </rPh>
    <phoneticPr fontId="2"/>
  </si>
  <si>
    <t>ふじみや</t>
    <phoneticPr fontId="2"/>
  </si>
  <si>
    <t>三宝</t>
    <rPh sb="0" eb="2">
      <t>サンポウ</t>
    </rPh>
    <phoneticPr fontId="2"/>
  </si>
  <si>
    <t>祭礼分担金</t>
    <rPh sb="0" eb="2">
      <t>サイレイ</t>
    </rPh>
    <rPh sb="2" eb="5">
      <t>ブンタンキン</t>
    </rPh>
    <phoneticPr fontId="2"/>
  </si>
  <si>
    <t>連合渡御分担金(反省会費含む)</t>
    <rPh sb="0" eb="2">
      <t>レンゴウ</t>
    </rPh>
    <rPh sb="2" eb="4">
      <t>トギョ</t>
    </rPh>
    <rPh sb="4" eb="7">
      <t>ブンタンキン</t>
    </rPh>
    <rPh sb="8" eb="10">
      <t>ハンセイ</t>
    </rPh>
    <rPh sb="10" eb="12">
      <t>カイヒ</t>
    </rPh>
    <rPh sb="12" eb="13">
      <t>フク</t>
    </rPh>
    <phoneticPr fontId="2"/>
  </si>
  <si>
    <t>駒寄町内会(当番)</t>
    <rPh sb="0" eb="2">
      <t>コマヨセ</t>
    </rPh>
    <rPh sb="2" eb="4">
      <t>チョウナイ</t>
    </rPh>
    <rPh sb="4" eb="5">
      <t>カイ</t>
    </rPh>
    <rPh sb="6" eb="8">
      <t>トウバン</t>
    </rPh>
    <phoneticPr fontId="2"/>
  </si>
  <si>
    <t>入浴料　22</t>
    <rPh sb="0" eb="3">
      <t>ニュウヨクリョウ</t>
    </rPh>
    <phoneticPr fontId="2"/>
  </si>
  <si>
    <t>焼酎6、日本酒1</t>
    <rPh sb="0" eb="2">
      <t>ショウチュウ</t>
    </rPh>
    <rPh sb="4" eb="7">
      <t>ニホンシュ</t>
    </rPh>
    <phoneticPr fontId="2"/>
  </si>
  <si>
    <t>ビール券10枚</t>
    <rPh sb="3" eb="4">
      <t>ケン</t>
    </rPh>
    <rPh sb="6" eb="7">
      <t>マイ</t>
    </rPh>
    <phoneticPr fontId="2"/>
  </si>
  <si>
    <t>助六寿司</t>
    <rPh sb="0" eb="2">
      <t>スケロク</t>
    </rPh>
    <rPh sb="2" eb="4">
      <t>スシ</t>
    </rPh>
    <phoneticPr fontId="2"/>
  </si>
  <si>
    <t>ウィスキー 180ml</t>
    <phoneticPr fontId="2"/>
  </si>
  <si>
    <t>蚊取り、洗剤等</t>
    <rPh sb="0" eb="2">
      <t>カト</t>
    </rPh>
    <rPh sb="4" eb="6">
      <t>センザイ</t>
    </rPh>
    <rPh sb="6" eb="7">
      <t>トウ</t>
    </rPh>
    <phoneticPr fontId="2"/>
  </si>
  <si>
    <t>さらし2反</t>
    <rPh sb="4" eb="5">
      <t>タン</t>
    </rPh>
    <phoneticPr fontId="2"/>
  </si>
  <si>
    <t>バッテリー補充液</t>
    <rPh sb="5" eb="7">
      <t>ホジュウ</t>
    </rPh>
    <rPh sb="7" eb="8">
      <t>エキ</t>
    </rPh>
    <phoneticPr fontId="2"/>
  </si>
  <si>
    <t>オートバックス</t>
    <phoneticPr fontId="2"/>
  </si>
  <si>
    <t>乾電池他</t>
    <rPh sb="0" eb="3">
      <t>カンデンチ</t>
    </rPh>
    <rPh sb="3" eb="4">
      <t>タ</t>
    </rPh>
    <phoneticPr fontId="2"/>
  </si>
  <si>
    <t>ヤマダ電機</t>
    <rPh sb="3" eb="5">
      <t>デンキ</t>
    </rPh>
    <phoneticPr fontId="2"/>
  </si>
  <si>
    <t>弁当用パック</t>
    <rPh sb="0" eb="3">
      <t>ベントウヨウ</t>
    </rPh>
    <phoneticPr fontId="2"/>
  </si>
  <si>
    <t>杏花飯店</t>
    <rPh sb="0" eb="1">
      <t>アンズ</t>
    </rPh>
    <rPh sb="1" eb="2">
      <t>ハナ</t>
    </rPh>
    <rPh sb="2" eb="4">
      <t>ハンテン</t>
    </rPh>
    <phoneticPr fontId="2"/>
  </si>
  <si>
    <t>麻　6</t>
    <rPh sb="0" eb="1">
      <t>アサ</t>
    </rPh>
    <phoneticPr fontId="2"/>
  </si>
  <si>
    <t>わら縄、他</t>
    <rPh sb="2" eb="3">
      <t>ナワ</t>
    </rPh>
    <rPh sb="4" eb="5">
      <t>タ</t>
    </rPh>
    <phoneticPr fontId="2"/>
  </si>
  <si>
    <t>みこし担ぎ手用足袋(南郷手配)</t>
    <rPh sb="3" eb="4">
      <t>カツ</t>
    </rPh>
    <rPh sb="5" eb="6">
      <t>テ</t>
    </rPh>
    <rPh sb="6" eb="7">
      <t>ヨウ</t>
    </rPh>
    <rPh sb="7" eb="9">
      <t>タビ</t>
    </rPh>
    <rPh sb="10" eb="12">
      <t>ナンゴウ</t>
    </rPh>
    <rPh sb="12" eb="14">
      <t>テハイ</t>
    </rPh>
    <phoneticPr fontId="2"/>
  </si>
  <si>
    <t>workman</t>
    <phoneticPr fontId="2"/>
  </si>
  <si>
    <t>単三乾電池</t>
    <rPh sb="0" eb="2">
      <t>タンサン</t>
    </rPh>
    <rPh sb="2" eb="5">
      <t>カンデンチ</t>
    </rPh>
    <phoneticPr fontId="2"/>
  </si>
  <si>
    <t>買い物袋他、消耗品</t>
    <rPh sb="0" eb="1">
      <t>カ</t>
    </rPh>
    <rPh sb="2" eb="3">
      <t>モノ</t>
    </rPh>
    <rPh sb="3" eb="4">
      <t>ブクロ</t>
    </rPh>
    <rPh sb="4" eb="5">
      <t>タ</t>
    </rPh>
    <rPh sb="6" eb="8">
      <t>ショウモウ</t>
    </rPh>
    <rPh sb="8" eb="9">
      <t>ヒン</t>
    </rPh>
    <phoneticPr fontId="2"/>
  </si>
  <si>
    <t>熨斗紙、祭礼用ノート</t>
    <rPh sb="0" eb="3">
      <t>ノシガミ</t>
    </rPh>
    <rPh sb="4" eb="6">
      <t>サイレイ</t>
    </rPh>
    <rPh sb="6" eb="7">
      <t>ヨウ</t>
    </rPh>
    <phoneticPr fontId="2"/>
  </si>
  <si>
    <t>黄色タオル(一般配布用)　400</t>
    <rPh sb="0" eb="2">
      <t>キイロ</t>
    </rPh>
    <rPh sb="6" eb="8">
      <t>イッパン</t>
    </rPh>
    <rPh sb="8" eb="11">
      <t>ハイフヨウ</t>
    </rPh>
    <phoneticPr fontId="2"/>
  </si>
  <si>
    <t>文具各種</t>
    <rPh sb="0" eb="2">
      <t>ブング</t>
    </rPh>
    <rPh sb="2" eb="4">
      <t>カクシュ</t>
    </rPh>
    <phoneticPr fontId="2"/>
  </si>
  <si>
    <t>熨斗紙、封筒、ビニールテープ</t>
    <rPh sb="0" eb="3">
      <t>ノシガミ</t>
    </rPh>
    <rPh sb="4" eb="6">
      <t>フウトウ</t>
    </rPh>
    <phoneticPr fontId="2"/>
  </si>
  <si>
    <t>アルカリ乾電池</t>
    <rPh sb="4" eb="7">
      <t>カンデンチ</t>
    </rPh>
    <phoneticPr fontId="2"/>
  </si>
  <si>
    <t>ネオパラ防虫剤</t>
    <rPh sb="4" eb="7">
      <t>ボウチュウザイ</t>
    </rPh>
    <phoneticPr fontId="2"/>
  </si>
  <si>
    <t>排水キャップ(会館前)</t>
    <rPh sb="0" eb="2">
      <t>ハイスイ</t>
    </rPh>
    <rPh sb="7" eb="9">
      <t>カイカン</t>
    </rPh>
    <rPh sb="9" eb="10">
      <t>マエ</t>
    </rPh>
    <phoneticPr fontId="2"/>
  </si>
  <si>
    <t>田浦祭礼打合せ</t>
    <rPh sb="0" eb="2">
      <t>タウラ</t>
    </rPh>
    <rPh sb="2" eb="4">
      <t>サイレイ</t>
    </rPh>
    <rPh sb="4" eb="6">
      <t>ウチアワ</t>
    </rPh>
    <phoneticPr fontId="2"/>
  </si>
  <si>
    <t>海南記</t>
    <rPh sb="0" eb="1">
      <t>ウミ</t>
    </rPh>
    <rPh sb="1" eb="2">
      <t>ミナミ</t>
    </rPh>
    <rPh sb="2" eb="3">
      <t>キ</t>
    </rPh>
    <phoneticPr fontId="2"/>
  </si>
  <si>
    <t>祭礼準備委員会　氷</t>
    <rPh sb="0" eb="2">
      <t>サイレイ</t>
    </rPh>
    <rPh sb="2" eb="4">
      <t>ジュンビ</t>
    </rPh>
    <rPh sb="4" eb="7">
      <t>イインカイ</t>
    </rPh>
    <rPh sb="8" eb="9">
      <t>コオリ</t>
    </rPh>
    <phoneticPr fontId="2"/>
  </si>
  <si>
    <t>祭礼準備委員会　寿司　4</t>
    <rPh sb="0" eb="2">
      <t>サイレイ</t>
    </rPh>
    <rPh sb="2" eb="4">
      <t>ジュンビ</t>
    </rPh>
    <rPh sb="4" eb="7">
      <t>イインカイ</t>
    </rPh>
    <rPh sb="8" eb="10">
      <t>スシ</t>
    </rPh>
    <phoneticPr fontId="2"/>
  </si>
  <si>
    <t>かりがね寿司</t>
    <rPh sb="4" eb="6">
      <t>スシ</t>
    </rPh>
    <phoneticPr fontId="2"/>
  </si>
  <si>
    <t>祭礼準備委員会7/7用ビール・つまみ</t>
    <rPh sb="0" eb="2">
      <t>サイレイ</t>
    </rPh>
    <rPh sb="2" eb="4">
      <t>ジュンビ</t>
    </rPh>
    <rPh sb="4" eb="7">
      <t>イインカイ</t>
    </rPh>
    <rPh sb="10" eb="11">
      <t>ヨウ</t>
    </rPh>
    <phoneticPr fontId="2"/>
  </si>
  <si>
    <t>祭礼準備委員会7/7用かきピー</t>
    <rPh sb="0" eb="2">
      <t>サイレイ</t>
    </rPh>
    <rPh sb="2" eb="4">
      <t>ジュンビ</t>
    </rPh>
    <rPh sb="4" eb="7">
      <t>イインカイ</t>
    </rPh>
    <rPh sb="10" eb="11">
      <t>ヨウ</t>
    </rPh>
    <phoneticPr fontId="2"/>
  </si>
  <si>
    <t>祭礼準備委員会7/7　つまみ</t>
    <rPh sb="0" eb="2">
      <t>サイレイ</t>
    </rPh>
    <rPh sb="2" eb="4">
      <t>ジュンビ</t>
    </rPh>
    <rPh sb="4" eb="7">
      <t>イインカイ</t>
    </rPh>
    <phoneticPr fontId="2"/>
  </si>
  <si>
    <t>祭礼準備委員会　昼食弁当</t>
    <rPh sb="0" eb="2">
      <t>サイレイ</t>
    </rPh>
    <rPh sb="2" eb="4">
      <t>ジュンビ</t>
    </rPh>
    <rPh sb="4" eb="7">
      <t>イインカイ</t>
    </rPh>
    <rPh sb="8" eb="10">
      <t>チュウショク</t>
    </rPh>
    <rPh sb="10" eb="12">
      <t>ベントウ</t>
    </rPh>
    <phoneticPr fontId="2"/>
  </si>
  <si>
    <t>祭礼準備委員会　昼食弁当　26</t>
    <rPh sb="0" eb="2">
      <t>サイレイ</t>
    </rPh>
    <rPh sb="2" eb="4">
      <t>ジュンビ</t>
    </rPh>
    <rPh sb="4" eb="7">
      <t>イインカイ</t>
    </rPh>
    <rPh sb="8" eb="10">
      <t>チュウショク</t>
    </rPh>
    <rPh sb="10" eb="12">
      <t>ベントウ</t>
    </rPh>
    <phoneticPr fontId="2"/>
  </si>
  <si>
    <t>祭礼準備委員会　オードブル</t>
    <rPh sb="0" eb="2">
      <t>サイレイ</t>
    </rPh>
    <rPh sb="2" eb="4">
      <t>ジュンビ</t>
    </rPh>
    <rPh sb="4" eb="7">
      <t>イインカイ</t>
    </rPh>
    <phoneticPr fontId="2"/>
  </si>
  <si>
    <t>祭礼役員昼食　30</t>
    <rPh sb="0" eb="2">
      <t>サイレイ</t>
    </rPh>
    <rPh sb="2" eb="4">
      <t>ヤクイン</t>
    </rPh>
    <rPh sb="4" eb="6">
      <t>チュウショク</t>
    </rPh>
    <phoneticPr fontId="2"/>
  </si>
  <si>
    <t>駒寄反省会諸経費</t>
    <rPh sb="0" eb="2">
      <t xml:space="preserve">コマヨセ </t>
    </rPh>
    <rPh sb="2" eb="5">
      <t xml:space="preserve">ハンセイカイ </t>
    </rPh>
    <rPh sb="5" eb="8">
      <t xml:space="preserve">ショケイヒ </t>
    </rPh>
    <phoneticPr fontId="2"/>
  </si>
  <si>
    <t>斎藤副会長</t>
    <rPh sb="0" eb="2">
      <t xml:space="preserve">サイトウ </t>
    </rPh>
    <rPh sb="2" eb="5">
      <t xml:space="preserve">フクカイチョウ </t>
    </rPh>
    <phoneticPr fontId="2"/>
  </si>
  <si>
    <t>緒綬(おぶさ)</t>
    <rPh sb="0" eb="1">
      <t>ショ</t>
    </rPh>
    <rPh sb="1" eb="2">
      <t>ジュ</t>
    </rPh>
    <phoneticPr fontId="2"/>
  </si>
  <si>
    <t>船神神輿愛好会</t>
    <rPh sb="0" eb="1">
      <t>フネ</t>
    </rPh>
    <rPh sb="1" eb="2">
      <t>カミ</t>
    </rPh>
    <rPh sb="2" eb="4">
      <t>ミコシ</t>
    </rPh>
    <rPh sb="4" eb="7">
      <t>アイコウカイ</t>
    </rPh>
    <phoneticPr fontId="2"/>
  </si>
  <si>
    <t>神輿電飾用乾電池</t>
    <rPh sb="0" eb="2">
      <t>ミコシ</t>
    </rPh>
    <rPh sb="2" eb="4">
      <t>デンショク</t>
    </rPh>
    <rPh sb="4" eb="5">
      <t>ヨウ</t>
    </rPh>
    <rPh sb="5" eb="8">
      <t>カンデンチ</t>
    </rPh>
    <phoneticPr fontId="2"/>
  </si>
  <si>
    <t>返礼用タオル(柄入り)　100枚</t>
    <rPh sb="0" eb="2">
      <t>ヘンレイ</t>
    </rPh>
    <rPh sb="2" eb="3">
      <t>ヨウ</t>
    </rPh>
    <rPh sb="7" eb="8">
      <t>ガラ</t>
    </rPh>
    <rPh sb="8" eb="9">
      <t>イ</t>
    </rPh>
    <rPh sb="15" eb="16">
      <t>マイ</t>
    </rPh>
    <phoneticPr fontId="2"/>
  </si>
  <si>
    <t>たおる本舗</t>
    <rPh sb="3" eb="5">
      <t>ホンポ</t>
    </rPh>
    <phoneticPr fontId="2"/>
  </si>
  <si>
    <t>黄色タオル(返礼用)　200</t>
    <rPh sb="0" eb="2">
      <t>キイロ</t>
    </rPh>
    <rPh sb="6" eb="8">
      <t>ヘンレイ</t>
    </rPh>
    <rPh sb="8" eb="9">
      <t>ヨウ</t>
    </rPh>
    <phoneticPr fontId="2"/>
  </si>
  <si>
    <t>買い出し交通費手当</t>
    <rPh sb="0" eb="1">
      <t>カ</t>
    </rPh>
    <rPh sb="2" eb="3">
      <t>ダ</t>
    </rPh>
    <rPh sb="4" eb="7">
      <t>コウツウヒ</t>
    </rPh>
    <rPh sb="7" eb="9">
      <t>テアテ</t>
    </rPh>
    <phoneticPr fontId="2"/>
  </si>
  <si>
    <t>道路使用許可申請用証紙</t>
    <rPh sb="0" eb="2">
      <t>ドウロ</t>
    </rPh>
    <rPh sb="2" eb="4">
      <t>シヨウ</t>
    </rPh>
    <rPh sb="4" eb="6">
      <t>キョカ</t>
    </rPh>
    <rPh sb="6" eb="9">
      <t>シンセイヨウ</t>
    </rPh>
    <rPh sb="9" eb="10">
      <t>ショウ</t>
    </rPh>
    <rPh sb="10" eb="11">
      <t>カミ</t>
    </rPh>
    <phoneticPr fontId="2"/>
  </si>
  <si>
    <t>田浦交通安全協会</t>
    <rPh sb="0" eb="2">
      <t>タウラ</t>
    </rPh>
    <rPh sb="2" eb="4">
      <t>コウツウ</t>
    </rPh>
    <rPh sb="4" eb="6">
      <t>アンゼン</t>
    </rPh>
    <rPh sb="6" eb="8">
      <t>キョウカイ</t>
    </rPh>
    <phoneticPr fontId="2"/>
  </si>
  <si>
    <t>コピー代</t>
    <rPh sb="3" eb="4">
      <t>ダイ</t>
    </rPh>
    <phoneticPr fontId="2"/>
  </si>
  <si>
    <t>2Fクーラー代</t>
    <rPh sb="6" eb="7">
      <t>ダイ</t>
    </rPh>
    <phoneticPr fontId="2"/>
  </si>
  <si>
    <t>会館会計</t>
    <rPh sb="0" eb="2">
      <t>カイカン</t>
    </rPh>
    <rPh sb="2" eb="4">
      <t>カイケイ</t>
    </rPh>
    <phoneticPr fontId="2"/>
  </si>
  <si>
    <t>直会場所提供謝礼</t>
    <rPh sb="0" eb="2">
      <t>ナオライ</t>
    </rPh>
    <rPh sb="2" eb="4">
      <t>バショ</t>
    </rPh>
    <rPh sb="4" eb="6">
      <t>テイキョウ</t>
    </rPh>
    <rPh sb="6" eb="8">
      <t>シャレイ</t>
    </rPh>
    <phoneticPr fontId="2"/>
  </si>
  <si>
    <t>福寿家</t>
    <rPh sb="0" eb="2">
      <t>フクジュ</t>
    </rPh>
    <rPh sb="2" eb="3">
      <t>イエ</t>
    </rPh>
    <phoneticPr fontId="2"/>
  </si>
  <si>
    <t>写真プリント</t>
    <rPh sb="0" eb="2">
      <t>シャシン</t>
    </rPh>
    <phoneticPr fontId="2"/>
  </si>
  <si>
    <t>フジカラープラザ</t>
    <phoneticPr fontId="2"/>
  </si>
  <si>
    <t>タスキ・クリーニング</t>
    <phoneticPr fontId="2"/>
  </si>
  <si>
    <t>門付分配金</t>
    <rPh sb="0" eb="1">
      <t>カド</t>
    </rPh>
    <rPh sb="1" eb="2">
      <t>フ</t>
    </rPh>
    <rPh sb="2" eb="5">
      <t>ブンパイキン</t>
    </rPh>
    <phoneticPr fontId="2"/>
  </si>
  <si>
    <t>青年部長</t>
    <rPh sb="0" eb="2">
      <t>セイネン</t>
    </rPh>
    <rPh sb="2" eb="3">
      <t>ブ</t>
    </rPh>
    <rPh sb="3" eb="4">
      <t>チョウ</t>
    </rPh>
    <phoneticPr fontId="2"/>
  </si>
  <si>
    <t>壮年部長</t>
    <rPh sb="0" eb="3">
      <t>ソウネンブ</t>
    </rPh>
    <rPh sb="3" eb="4">
      <t>チョウ</t>
    </rPh>
    <phoneticPr fontId="2"/>
  </si>
  <si>
    <t>少年部祭礼諸経費</t>
    <rPh sb="0" eb="2">
      <t>ショウネン</t>
    </rPh>
    <rPh sb="2" eb="3">
      <t>ブ</t>
    </rPh>
    <rPh sb="3" eb="5">
      <t>サイレイ</t>
    </rPh>
    <rPh sb="5" eb="8">
      <t>ショケイヒ</t>
    </rPh>
    <phoneticPr fontId="2"/>
  </si>
  <si>
    <t>少年部長</t>
    <rPh sb="0" eb="2">
      <t>ショウネン</t>
    </rPh>
    <rPh sb="2" eb="3">
      <t>ブ</t>
    </rPh>
    <rPh sb="3" eb="4">
      <t>チョウ</t>
    </rPh>
    <phoneticPr fontId="2"/>
  </si>
  <si>
    <t>連合渡御反省会用ビール　2ケース</t>
    <rPh sb="0" eb="2">
      <t>レンゴウ</t>
    </rPh>
    <rPh sb="2" eb="4">
      <t>トギョ</t>
    </rPh>
    <rPh sb="4" eb="6">
      <t>ハンセイ</t>
    </rPh>
    <rPh sb="6" eb="7">
      <t>カイ</t>
    </rPh>
    <rPh sb="7" eb="8">
      <t>ヨウ</t>
    </rPh>
    <phoneticPr fontId="2"/>
  </si>
  <si>
    <t>連合渡御反省会　飲み物</t>
    <rPh sb="0" eb="2">
      <t>レンゴウ</t>
    </rPh>
    <rPh sb="2" eb="4">
      <t>トギョ</t>
    </rPh>
    <rPh sb="4" eb="6">
      <t>ハンセイ</t>
    </rPh>
    <rPh sb="6" eb="7">
      <t>カイ</t>
    </rPh>
    <rPh sb="8" eb="9">
      <t>ノ</t>
    </rPh>
    <rPh sb="10" eb="11">
      <t>モノ</t>
    </rPh>
    <phoneticPr fontId="2"/>
  </si>
  <si>
    <t>連合渡御反省会　ロックアイス</t>
    <rPh sb="0" eb="2">
      <t>レンゴウ</t>
    </rPh>
    <rPh sb="2" eb="4">
      <t>トギョ</t>
    </rPh>
    <rPh sb="4" eb="6">
      <t>ハンセイ</t>
    </rPh>
    <rPh sb="6" eb="7">
      <t>カイ</t>
    </rPh>
    <phoneticPr fontId="2"/>
  </si>
  <si>
    <t>連合渡御反省会　醤油</t>
    <rPh sb="0" eb="2">
      <t>レンゴウ</t>
    </rPh>
    <rPh sb="2" eb="4">
      <t>トギョ</t>
    </rPh>
    <rPh sb="4" eb="6">
      <t>ハンセイ</t>
    </rPh>
    <rPh sb="6" eb="7">
      <t>カイ</t>
    </rPh>
    <rPh sb="8" eb="10">
      <t>ショウユ</t>
    </rPh>
    <phoneticPr fontId="2"/>
  </si>
  <si>
    <t>連合渡御反省会　刺身</t>
    <rPh sb="0" eb="2">
      <t>レンゴウ</t>
    </rPh>
    <rPh sb="2" eb="4">
      <t>トギョ</t>
    </rPh>
    <rPh sb="4" eb="6">
      <t>ハンセイ</t>
    </rPh>
    <rPh sb="6" eb="7">
      <t>カイ</t>
    </rPh>
    <rPh sb="8" eb="10">
      <t>サシミ</t>
    </rPh>
    <phoneticPr fontId="2"/>
  </si>
  <si>
    <t>連合渡御反省会　オードブル</t>
    <rPh sb="0" eb="2">
      <t>レンゴウ</t>
    </rPh>
    <rPh sb="2" eb="4">
      <t>トギョ</t>
    </rPh>
    <rPh sb="4" eb="6">
      <t>ハンセイ</t>
    </rPh>
    <rPh sb="6" eb="7">
      <t>カイ</t>
    </rPh>
    <phoneticPr fontId="2"/>
  </si>
  <si>
    <t>連合渡御反省会　消耗品</t>
    <rPh sb="0" eb="2">
      <t>レンゴウ</t>
    </rPh>
    <rPh sb="2" eb="4">
      <t>トギョ</t>
    </rPh>
    <rPh sb="4" eb="6">
      <t>ハンセイ</t>
    </rPh>
    <rPh sb="6" eb="7">
      <t>カイ</t>
    </rPh>
    <rPh sb="8" eb="10">
      <t>ショウモウ</t>
    </rPh>
    <rPh sb="10" eb="11">
      <t>ヒン</t>
    </rPh>
    <phoneticPr fontId="2"/>
  </si>
  <si>
    <t>連合渡御反省会　つまみ</t>
    <rPh sb="0" eb="2">
      <t>レンゴウ</t>
    </rPh>
    <rPh sb="2" eb="4">
      <t>トギョ</t>
    </rPh>
    <rPh sb="4" eb="6">
      <t>ハンセイ</t>
    </rPh>
    <rPh sb="6" eb="7">
      <t>カイ</t>
    </rPh>
    <phoneticPr fontId="2"/>
  </si>
  <si>
    <t>成都</t>
    <rPh sb="0" eb="2">
      <t>セイト</t>
    </rPh>
    <phoneticPr fontId="2"/>
  </si>
  <si>
    <t>NISHAN</t>
    <phoneticPr fontId="2"/>
  </si>
  <si>
    <t>連合渡御 打ち合わせ諸経費</t>
    <phoneticPr fontId="2"/>
  </si>
  <si>
    <t>D</t>
    <phoneticPr fontId="2"/>
  </si>
  <si>
    <t>各班祭礼寄付金</t>
    <rPh sb="0" eb="2">
      <t>カクハン</t>
    </rPh>
    <rPh sb="2" eb="4">
      <t>サイレイ</t>
    </rPh>
    <rPh sb="4" eb="7">
      <t>キフキン</t>
    </rPh>
    <phoneticPr fontId="2"/>
  </si>
  <si>
    <t>175世帯</t>
    <rPh sb="3" eb="5">
      <t>セタイ</t>
    </rPh>
    <phoneticPr fontId="2"/>
  </si>
  <si>
    <t>E</t>
    <phoneticPr fontId="2"/>
  </si>
  <si>
    <t>芳志者28件</t>
    <rPh sb="0" eb="2">
      <t>ホウシ</t>
    </rPh>
    <rPh sb="2" eb="3">
      <t>モノ</t>
    </rPh>
    <rPh sb="5" eb="6">
      <t>ケン</t>
    </rPh>
    <phoneticPr fontId="2"/>
  </si>
  <si>
    <t>F</t>
    <phoneticPr fontId="2"/>
  </si>
  <si>
    <t>門付</t>
    <rPh sb="0" eb="1">
      <t>カド</t>
    </rPh>
    <rPh sb="1" eb="2">
      <t>ヅ</t>
    </rPh>
    <phoneticPr fontId="2"/>
  </si>
  <si>
    <t>芳志者32件</t>
    <rPh sb="0" eb="2">
      <t>ホウシ</t>
    </rPh>
    <rPh sb="2" eb="3">
      <t>モノ</t>
    </rPh>
    <rPh sb="5" eb="6">
      <t>ケン</t>
    </rPh>
    <phoneticPr fontId="2"/>
  </si>
  <si>
    <t>J</t>
    <phoneticPr fontId="2"/>
  </si>
  <si>
    <t>K</t>
    <phoneticPr fontId="2"/>
  </si>
  <si>
    <t>G</t>
    <phoneticPr fontId="2"/>
  </si>
  <si>
    <t>賽銭</t>
    <rPh sb="0" eb="2">
      <t>サイセン</t>
    </rPh>
    <phoneticPr fontId="2"/>
  </si>
  <si>
    <t>芳志者</t>
    <rPh sb="0" eb="2">
      <t>ホウシ</t>
    </rPh>
    <rPh sb="2" eb="3">
      <t>モノ</t>
    </rPh>
    <phoneticPr fontId="2"/>
  </si>
  <si>
    <t>H</t>
    <phoneticPr fontId="2"/>
  </si>
  <si>
    <t>連合渡御分担金</t>
    <rPh sb="0" eb="2">
      <t>レンゴウ</t>
    </rPh>
    <rPh sb="2" eb="4">
      <t>トギョ</t>
    </rPh>
    <rPh sb="4" eb="7">
      <t>ブンタンキン</t>
    </rPh>
    <phoneticPr fontId="2"/>
  </si>
  <si>
    <t>*6</t>
    <phoneticPr fontId="2"/>
  </si>
  <si>
    <t>6町内+船神</t>
    <rPh sb="1" eb="3">
      <t>チョウナイ</t>
    </rPh>
    <rPh sb="4" eb="5">
      <t>フナ</t>
    </rPh>
    <rPh sb="5" eb="6">
      <t>カミ</t>
    </rPh>
    <phoneticPr fontId="2"/>
  </si>
  <si>
    <t>I</t>
    <phoneticPr fontId="2"/>
  </si>
  <si>
    <t>連合渡御反省会費</t>
    <rPh sb="0" eb="2">
      <t>レンゴウ</t>
    </rPh>
    <rPh sb="2" eb="4">
      <t>トギョ</t>
    </rPh>
    <rPh sb="4" eb="6">
      <t>ハンセイ</t>
    </rPh>
    <rPh sb="6" eb="8">
      <t>カイヒ</t>
    </rPh>
    <phoneticPr fontId="2"/>
  </si>
  <si>
    <t>6町内+船神+青年</t>
    <rPh sb="1" eb="3">
      <t>チョウナイ</t>
    </rPh>
    <rPh sb="4" eb="5">
      <t>フナ</t>
    </rPh>
    <rPh sb="5" eb="6">
      <t>カミ</t>
    </rPh>
    <rPh sb="7" eb="9">
      <t>セイネン</t>
    </rPh>
    <phoneticPr fontId="2"/>
  </si>
  <si>
    <t>連合渡御分担金(反省会費含む)</t>
    <phoneticPr fontId="2"/>
  </si>
  <si>
    <t>御供物費</t>
    <rPh sb="0" eb="1">
      <t>オ</t>
    </rPh>
    <rPh sb="1" eb="3">
      <t>クモツ</t>
    </rPh>
    <phoneticPr fontId="2"/>
  </si>
  <si>
    <t>神社等分担金</t>
    <phoneticPr fontId="2"/>
  </si>
  <si>
    <t>ー</t>
    <phoneticPr fontId="2"/>
  </si>
  <si>
    <t>増減%</t>
    <rPh sb="0" eb="2">
      <t>ゾウゲン</t>
    </rPh>
    <phoneticPr fontId="2"/>
  </si>
  <si>
    <t>増減%</t>
    <phoneticPr fontId="2"/>
  </si>
  <si>
    <t>入浴費</t>
    <phoneticPr fontId="2"/>
  </si>
  <si>
    <t>渉外費</t>
    <rPh sb="0" eb="2">
      <t>ショウガイ</t>
    </rPh>
    <rPh sb="2" eb="3">
      <t>ヒ</t>
    </rPh>
    <phoneticPr fontId="2"/>
  </si>
  <si>
    <t>消耗品費</t>
    <rPh sb="0" eb="3">
      <t>ショウモウヒン</t>
    </rPh>
    <rPh sb="3" eb="4">
      <t>ヒ</t>
    </rPh>
    <phoneticPr fontId="2"/>
  </si>
  <si>
    <t>神輿準備・片付け費</t>
    <rPh sb="0" eb="2">
      <t>ミコシ</t>
    </rPh>
    <rPh sb="2" eb="4">
      <t>ジュンビ</t>
    </rPh>
    <rPh sb="5" eb="7">
      <t>カタヅ</t>
    </rPh>
    <rPh sb="8" eb="9">
      <t>ヒ</t>
    </rPh>
    <phoneticPr fontId="2"/>
  </si>
  <si>
    <t>お囃子保存会支援費</t>
    <rPh sb="1" eb="3">
      <t>ハヤシ</t>
    </rPh>
    <rPh sb="3" eb="6">
      <t>ホゾンカイ</t>
    </rPh>
    <rPh sb="6" eb="8">
      <t>シエン</t>
    </rPh>
    <rPh sb="8" eb="9">
      <t>ヒ</t>
    </rPh>
    <phoneticPr fontId="2"/>
  </si>
  <si>
    <t>祭礼用具等支出</t>
    <rPh sb="0" eb="2">
      <t>サイレイ</t>
    </rPh>
    <rPh sb="2" eb="4">
      <t>ヨウグ</t>
    </rPh>
    <rPh sb="4" eb="5">
      <t>トウ</t>
    </rPh>
    <rPh sb="5" eb="7">
      <t>シシュツ</t>
    </rPh>
    <phoneticPr fontId="2"/>
  </si>
  <si>
    <t>寄付金等への返礼費</t>
    <rPh sb="0" eb="3">
      <t>キフキン</t>
    </rPh>
    <rPh sb="3" eb="4">
      <t>トウ</t>
    </rPh>
    <rPh sb="6" eb="8">
      <t>ヘンレイ</t>
    </rPh>
    <rPh sb="8" eb="9">
      <t>ヒ</t>
    </rPh>
    <phoneticPr fontId="2"/>
  </si>
  <si>
    <t>門付からの分配支出</t>
    <rPh sb="0" eb="2">
      <t>カドヅ</t>
    </rPh>
    <rPh sb="5" eb="7">
      <t>ブンパイ</t>
    </rPh>
    <rPh sb="7" eb="9">
      <t>シシュツ</t>
    </rPh>
    <phoneticPr fontId="2"/>
  </si>
  <si>
    <t>少年部諸経費</t>
    <rPh sb="0" eb="3">
      <t>ショウネンブ</t>
    </rPh>
    <rPh sb="3" eb="4">
      <t>ショ</t>
    </rPh>
    <rPh sb="4" eb="6">
      <t>ケイヒ</t>
    </rPh>
    <phoneticPr fontId="2"/>
  </si>
  <si>
    <t>連合渡御経費</t>
    <rPh sb="4" eb="6">
      <t>ケイヒ</t>
    </rPh>
    <phoneticPr fontId="2"/>
  </si>
  <si>
    <t>支出小計：</t>
    <rPh sb="0" eb="2">
      <t>シシュツ</t>
    </rPh>
    <rPh sb="2" eb="4">
      <t>ショウケイ</t>
    </rPh>
    <phoneticPr fontId="2"/>
  </si>
  <si>
    <t>お風呂券11枚</t>
    <rPh sb="1" eb="4">
      <t>フロケン</t>
    </rPh>
    <rPh sb="6" eb="7">
      <t>マイ</t>
    </rPh>
    <phoneticPr fontId="2"/>
  </si>
  <si>
    <t>神社・他町内への祝い品（金）</t>
    <rPh sb="0" eb="2">
      <t>ジンジャ</t>
    </rPh>
    <rPh sb="3" eb="4">
      <t>タ</t>
    </rPh>
    <rPh sb="4" eb="6">
      <t>チョウナイ</t>
    </rPh>
    <rPh sb="8" eb="9">
      <t>イワ</t>
    </rPh>
    <rPh sb="10" eb="11">
      <t>ヒン</t>
    </rPh>
    <rPh sb="12" eb="13">
      <t>キン</t>
    </rPh>
    <phoneticPr fontId="2"/>
  </si>
  <si>
    <t>175（R1）→176（R5）世帯</t>
    <rPh sb="15" eb="17">
      <t>セタイ</t>
    </rPh>
    <phoneticPr fontId="2"/>
  </si>
  <si>
    <t>28（R1）→27（R5）名</t>
    <rPh sb="13" eb="14">
      <t>メイ</t>
    </rPh>
    <phoneticPr fontId="2"/>
  </si>
  <si>
    <t>前回差（R5-R1）</t>
    <rPh sb="0" eb="2">
      <t>ゼンカイ</t>
    </rPh>
    <rPh sb="2" eb="3">
      <t>サ</t>
    </rPh>
    <phoneticPr fontId="2"/>
  </si>
  <si>
    <t>返礼用タオル300枚ほか</t>
    <rPh sb="0" eb="3">
      <t>ヘンレイヨウ</t>
    </rPh>
    <rPh sb="9" eb="10">
      <t>マイ</t>
    </rPh>
    <phoneticPr fontId="2"/>
  </si>
  <si>
    <t>配布用タオル600枚、電池等</t>
    <rPh sb="0" eb="2">
      <t>ハイフ</t>
    </rPh>
    <rPh sb="2" eb="3">
      <t>ヨウ</t>
    </rPh>
    <rPh sb="9" eb="10">
      <t>マイ</t>
    </rPh>
    <rPh sb="11" eb="13">
      <t>デンチ</t>
    </rPh>
    <rPh sb="13" eb="14">
      <t>トウ</t>
    </rPh>
    <phoneticPr fontId="2"/>
  </si>
  <si>
    <t>クリーニング、道路使用、謝礼</t>
    <rPh sb="7" eb="11">
      <t>ドウロシヨウ</t>
    </rPh>
    <rPh sb="12" eb="14">
      <t>シャレイ</t>
    </rPh>
    <phoneticPr fontId="2"/>
  </si>
  <si>
    <t>次年度繰越金</t>
    <rPh sb="0" eb="1">
      <t>ツギ</t>
    </rPh>
    <phoneticPr fontId="2"/>
  </si>
  <si>
    <t>項目</t>
    <phoneticPr fontId="2"/>
  </si>
  <si>
    <t>内訳①</t>
    <rPh sb="0" eb="2">
      <t>ウチワケ</t>
    </rPh>
    <phoneticPr fontId="2"/>
  </si>
  <si>
    <t>内訳②</t>
    <rPh sb="0" eb="2">
      <t>ウチワケ</t>
    </rPh>
    <phoneticPr fontId="2"/>
  </si>
  <si>
    <t>（R1に比べ）収入は増加。</t>
    <rPh sb="4" eb="5">
      <t>クラ</t>
    </rPh>
    <rPh sb="7" eb="9">
      <t>シュウニュウ</t>
    </rPh>
    <rPh sb="10" eb="12">
      <t>ゾウカ</t>
    </rPh>
    <phoneticPr fontId="2"/>
  </si>
  <si>
    <t>当番の年のみ。</t>
    <rPh sb="0" eb="2">
      <t>トウバン</t>
    </rPh>
    <rPh sb="3" eb="4">
      <t>トシ</t>
    </rPh>
    <phoneticPr fontId="2"/>
  </si>
  <si>
    <t>当番の年のみ。</t>
    <phoneticPr fontId="2"/>
  </si>
  <si>
    <t>（R1に比べ）支出が増加。</t>
    <rPh sb="4" eb="5">
      <t>クラ</t>
    </rPh>
    <rPh sb="7" eb="9">
      <t>シシュツ</t>
    </rPh>
    <rPh sb="10" eb="12">
      <t>ゾウカ</t>
    </rPh>
    <phoneticPr fontId="2"/>
  </si>
  <si>
    <t>（R1に比べ）収入が増加。</t>
    <rPh sb="4" eb="5">
      <t>クラ</t>
    </rPh>
    <rPh sb="7" eb="9">
      <t>シュウニュウ</t>
    </rPh>
    <rPh sb="10" eb="12">
      <t>ゾウカ</t>
    </rPh>
    <phoneticPr fontId="2"/>
  </si>
  <si>
    <t>※前年度繰越金、連合分担金、門付を除く。</t>
    <rPh sb="14" eb="16">
      <t>カドヅ</t>
    </rPh>
    <rPh sb="17" eb="18">
      <t>ノゾ</t>
    </rPh>
    <phoneticPr fontId="2"/>
  </si>
  <si>
    <t>収入合計①：</t>
    <rPh sb="0" eb="2">
      <t>シュウニュウ</t>
    </rPh>
    <rPh sb="2" eb="4">
      <t>ゴウケイ</t>
    </rPh>
    <phoneticPr fontId="2"/>
  </si>
  <si>
    <t>収入合計②：</t>
    <rPh sb="0" eb="2">
      <t>シュウニュウ</t>
    </rPh>
    <rPh sb="2" eb="4">
      <t>ゴウケイ</t>
    </rPh>
    <phoneticPr fontId="2"/>
  </si>
  <si>
    <t>※前年度繰越金、連合分担金を除く。（門付を含む。）</t>
    <rPh sb="14" eb="15">
      <t>ノゾ</t>
    </rPh>
    <rPh sb="18" eb="20">
      <t>カドヅ</t>
    </rPh>
    <rPh sb="21" eb="22">
      <t>フク</t>
    </rPh>
    <phoneticPr fontId="2"/>
  </si>
  <si>
    <t>賽銭、酒オークション、（預金利息）</t>
    <rPh sb="0" eb="2">
      <t>サイセン</t>
    </rPh>
    <rPh sb="3" eb="4">
      <t>サケ</t>
    </rPh>
    <rPh sb="12" eb="14">
      <t>ヨキン</t>
    </rPh>
    <rPh sb="14" eb="16">
      <t>リソク</t>
    </rPh>
    <phoneticPr fontId="2"/>
  </si>
  <si>
    <t>※次年度繰越金、連合経費、門付を除く。</t>
    <rPh sb="1" eb="2">
      <t>ジ</t>
    </rPh>
    <rPh sb="10" eb="12">
      <t>ケイヒ</t>
    </rPh>
    <rPh sb="13" eb="15">
      <t>カドヅ</t>
    </rPh>
    <rPh sb="16" eb="17">
      <t>ノゾ</t>
    </rPh>
    <phoneticPr fontId="2"/>
  </si>
  <si>
    <t>支出合計：</t>
    <rPh sb="0" eb="2">
      <t>シシュツ</t>
    </rPh>
    <rPh sb="2" eb="4">
      <t>ゴウケイ</t>
    </rPh>
    <phoneticPr fontId="2"/>
  </si>
  <si>
    <t>次年度繰越金：</t>
    <phoneticPr fontId="2"/>
  </si>
  <si>
    <t>齋藤さん</t>
    <rPh sb="0" eb="2">
      <t>サイトウ</t>
    </rPh>
    <phoneticPr fontId="2"/>
  </si>
  <si>
    <t>32（R1）→40（R5）名</t>
    <rPh sb="13" eb="14">
      <t>メイ</t>
    </rPh>
    <phoneticPr fontId="2"/>
  </si>
  <si>
    <t>飲食合計</t>
    <rPh sb="0" eb="2">
      <t>インショク</t>
    </rPh>
    <rPh sb="2" eb="4">
      <t>ゴウケイ</t>
    </rPh>
    <phoneticPr fontId="2"/>
  </si>
  <si>
    <t>爲廣さん</t>
    <rPh sb="0" eb="2">
      <t>タメヒロ</t>
    </rPh>
    <phoneticPr fontId="2"/>
  </si>
  <si>
    <t>渉外用焼酎（黒霧島）６本</t>
    <rPh sb="0" eb="2">
      <t>ショウガイ</t>
    </rPh>
    <rPh sb="2" eb="3">
      <t>ヨウ</t>
    </rPh>
    <rPh sb="3" eb="5">
      <t>ショウチュウ</t>
    </rPh>
    <rPh sb="6" eb="7">
      <t>クロ</t>
    </rPh>
    <rPh sb="7" eb="9">
      <t>キリシマ</t>
    </rPh>
    <rPh sb="11" eb="12">
      <t>ホン</t>
    </rPh>
    <phoneticPr fontId="2"/>
  </si>
  <si>
    <t>祭礼準備つまみ（枝豆）</t>
    <rPh sb="0" eb="2">
      <t>サイレイ</t>
    </rPh>
    <rPh sb="2" eb="4">
      <t>ジュンビ</t>
    </rPh>
    <rPh sb="8" eb="10">
      <t>エダマメ</t>
    </rPh>
    <phoneticPr fontId="2"/>
  </si>
  <si>
    <t>道路証紙代金</t>
    <phoneticPr fontId="2"/>
  </si>
  <si>
    <t>田浦安全協会</t>
    <rPh sb="0" eb="2">
      <t>タウラ</t>
    </rPh>
    <rPh sb="2" eb="4">
      <t>アンゼン</t>
    </rPh>
    <rPh sb="4" eb="6">
      <t>キョウカイ</t>
    </rPh>
    <phoneticPr fontId="2"/>
  </si>
  <si>
    <t>道路使用許可証コピー代</t>
    <rPh sb="2" eb="4">
      <t>シヨウ</t>
    </rPh>
    <rPh sb="4" eb="7">
      <t>キョカショウ</t>
    </rPh>
    <rPh sb="10" eb="11">
      <t>ダイ</t>
    </rPh>
    <phoneticPr fontId="2"/>
  </si>
  <si>
    <t>祭礼祝い金</t>
    <rPh sb="0" eb="2">
      <t>サイレイ</t>
    </rPh>
    <rPh sb="2" eb="3">
      <t>イワ</t>
    </rPh>
    <rPh sb="4" eb="5">
      <t>キン</t>
    </rPh>
    <phoneticPr fontId="2"/>
  </si>
  <si>
    <t>スパーク浦郷店</t>
    <rPh sb="4" eb="7">
      <t>ウラゴウテン</t>
    </rPh>
    <phoneticPr fontId="2"/>
  </si>
  <si>
    <t>田浦神明社天王祭式典祝い金</t>
    <rPh sb="0" eb="2">
      <t>タウラ</t>
    </rPh>
    <rPh sb="2" eb="4">
      <t>シンメイ</t>
    </rPh>
    <rPh sb="4" eb="5">
      <t>シャ</t>
    </rPh>
    <rPh sb="5" eb="6">
      <t>テン</t>
    </rPh>
    <rPh sb="6" eb="7">
      <t>オウ</t>
    </rPh>
    <rPh sb="7" eb="8">
      <t>サイ</t>
    </rPh>
    <rPh sb="8" eb="10">
      <t>シキテン</t>
    </rPh>
    <rPh sb="10" eb="11">
      <t>イワ</t>
    </rPh>
    <rPh sb="12" eb="13">
      <t>キン</t>
    </rPh>
    <phoneticPr fontId="2"/>
  </si>
  <si>
    <t>田浦神明社祭礼実行委員会</t>
    <rPh sb="0" eb="2">
      <t>タウラ</t>
    </rPh>
    <rPh sb="2" eb="4">
      <t>シンメイ</t>
    </rPh>
    <rPh sb="4" eb="5">
      <t>シャ</t>
    </rPh>
    <rPh sb="5" eb="7">
      <t>サイレイ</t>
    </rPh>
    <rPh sb="7" eb="9">
      <t>ジッコウ</t>
    </rPh>
    <rPh sb="9" eb="11">
      <t>イイン</t>
    </rPh>
    <rPh sb="11" eb="12">
      <t>カイ</t>
    </rPh>
    <phoneticPr fontId="2"/>
  </si>
  <si>
    <t>買い出し　交通費</t>
    <rPh sb="0" eb="1">
      <t>カ</t>
    </rPh>
    <rPh sb="2" eb="3">
      <t>ダ</t>
    </rPh>
    <rPh sb="5" eb="8">
      <t>コウツウヒ</t>
    </rPh>
    <phoneticPr fontId="2"/>
  </si>
  <si>
    <t>松村様</t>
    <rPh sb="0" eb="2">
      <t>マツムラ</t>
    </rPh>
    <rPh sb="2" eb="3">
      <t>サマ</t>
    </rPh>
    <phoneticPr fontId="2"/>
  </si>
  <si>
    <t>田浦神明社天王祭式典出席交通費</t>
    <rPh sb="0" eb="2">
      <t>タウラ</t>
    </rPh>
    <rPh sb="2" eb="4">
      <t>シンメイ</t>
    </rPh>
    <rPh sb="4" eb="5">
      <t>シャ</t>
    </rPh>
    <rPh sb="5" eb="6">
      <t>テン</t>
    </rPh>
    <rPh sb="6" eb="7">
      <t>オウ</t>
    </rPh>
    <rPh sb="7" eb="8">
      <t>サイ</t>
    </rPh>
    <rPh sb="8" eb="10">
      <t>シキテン</t>
    </rPh>
    <rPh sb="10" eb="12">
      <t>シュッセキ</t>
    </rPh>
    <rPh sb="12" eb="15">
      <t>コウツウヒ</t>
    </rPh>
    <phoneticPr fontId="2"/>
  </si>
  <si>
    <t>祭礼実行委員長：粟飯原さん</t>
    <rPh sb="0" eb="2">
      <t>サイレイ</t>
    </rPh>
    <rPh sb="2" eb="4">
      <t>ジッコウ</t>
    </rPh>
    <rPh sb="4" eb="7">
      <t>イインチョウ</t>
    </rPh>
    <rPh sb="8" eb="11">
      <t>アワイハラ</t>
    </rPh>
    <phoneticPr fontId="2"/>
  </si>
  <si>
    <t>佐々木義子2,000、佐久間均5,000</t>
    <rPh sb="11" eb="14">
      <t>サクマ</t>
    </rPh>
    <rPh sb="14" eb="15">
      <t>ヒトシ</t>
    </rPh>
    <phoneticPr fontId="2"/>
  </si>
  <si>
    <t>門付け</t>
    <rPh sb="0" eb="2">
      <t>カドヅ</t>
    </rPh>
    <phoneticPr fontId="2"/>
  </si>
  <si>
    <t>繰越金を含まない「支出」と「収入」及び「差額」：</t>
    <rPh sb="0" eb="3">
      <t>クリコシキン</t>
    </rPh>
    <rPh sb="4" eb="5">
      <t>フク</t>
    </rPh>
    <rPh sb="9" eb="11">
      <t>シシュツ</t>
    </rPh>
    <rPh sb="14" eb="16">
      <t>シュウニュウ</t>
    </rPh>
    <rPh sb="17" eb="18">
      <t>オヨ</t>
    </rPh>
    <rPh sb="20" eb="22">
      <t>サガク</t>
    </rPh>
    <phoneticPr fontId="2"/>
  </si>
  <si>
    <t>一括発注につき、領収書は共有</t>
    <rPh sb="0" eb="2">
      <t>イッカツ</t>
    </rPh>
    <rPh sb="2" eb="4">
      <t>ハッチュウ</t>
    </rPh>
    <rPh sb="8" eb="11">
      <t>リョウシュウショ</t>
    </rPh>
    <rPh sb="12" eb="14">
      <t>キョウユウ</t>
    </rPh>
    <phoneticPr fontId="2"/>
  </si>
  <si>
    <t>バラねじ（山車）</t>
    <rPh sb="5" eb="7">
      <t>ダシ</t>
    </rPh>
    <phoneticPr fontId="2"/>
  </si>
  <si>
    <t>４町内連合渡御　警察署へお礼</t>
    <rPh sb="1" eb="3">
      <t>チョウナイ</t>
    </rPh>
    <rPh sb="3" eb="5">
      <t>レンゴウ</t>
    </rPh>
    <rPh sb="5" eb="7">
      <t>トギョウ</t>
    </rPh>
    <rPh sb="8" eb="11">
      <t>ケイサツショ</t>
    </rPh>
    <rPh sb="13" eb="14">
      <t>レイ</t>
    </rPh>
    <phoneticPr fontId="2"/>
  </si>
  <si>
    <t>飲食費用（高橋しのぶ理事）</t>
    <rPh sb="0" eb="2">
      <t>インショク</t>
    </rPh>
    <rPh sb="2" eb="4">
      <t>ヒヨウ</t>
    </rPh>
    <phoneticPr fontId="2"/>
  </si>
  <si>
    <t>交通費（雑費）</t>
    <rPh sb="0" eb="3">
      <t>コウツウヒ</t>
    </rPh>
    <rPh sb="4" eb="6">
      <t>ザッピ</t>
    </rPh>
    <phoneticPr fontId="30"/>
  </si>
  <si>
    <t>ご祝儀（皆ヶ作,田浦神明,警察署）</t>
    <rPh sb="1" eb="3">
      <t>シュウギ</t>
    </rPh>
    <rPh sb="4" eb="7">
      <t>カイガサク</t>
    </rPh>
    <rPh sb="13" eb="16">
      <t>ケイサツショ</t>
    </rPh>
    <phoneticPr fontId="30"/>
  </si>
  <si>
    <t>バラねじ＋コピー代</t>
    <rPh sb="8" eb="9">
      <t>ダイ</t>
    </rPh>
    <phoneticPr fontId="2"/>
  </si>
  <si>
    <r>
      <t>門付け額の７割相当</t>
    </r>
    <r>
      <rPr>
        <sz val="8"/>
        <color theme="1"/>
        <rFont val="ＭＳ Ｐゴシック"/>
        <family val="3"/>
        <charset val="128"/>
        <scheme val="minor"/>
      </rPr>
      <t>（千円未満切り捨て）</t>
    </r>
    <rPh sb="0" eb="2">
      <t>カドヅ</t>
    </rPh>
    <rPh sb="3" eb="4">
      <t>ガク</t>
    </rPh>
    <rPh sb="6" eb="7">
      <t>ワリ</t>
    </rPh>
    <rPh sb="7" eb="9">
      <t>ソウトウ</t>
    </rPh>
    <rPh sb="10" eb="12">
      <t>センエン</t>
    </rPh>
    <rPh sb="12" eb="14">
      <t>ミマン</t>
    </rPh>
    <rPh sb="14" eb="15">
      <t>キ</t>
    </rPh>
    <rPh sb="16" eb="17">
      <t>ス</t>
    </rPh>
    <phoneticPr fontId="2"/>
  </si>
  <si>
    <t>（▲は、繰越金減少）</t>
    <rPh sb="4" eb="7">
      <t>クリコシキン</t>
    </rPh>
    <rPh sb="7" eb="9">
      <t>ゲンショウ</t>
    </rPh>
    <phoneticPr fontId="2"/>
  </si>
  <si>
    <t>R5年単年度収支：</t>
    <rPh sb="2" eb="3">
      <t>ネン</t>
    </rPh>
    <rPh sb="3" eb="6">
      <t>タンネンド</t>
    </rPh>
    <rPh sb="6" eb="8">
      <t>シュウシ</t>
    </rPh>
    <phoneticPr fontId="2"/>
  </si>
  <si>
    <t>※次年度繰越金、連合経費を除く（門付含む）。</t>
    <rPh sb="1" eb="2">
      <t>ジ</t>
    </rPh>
    <rPh sb="10" eb="12">
      <t>ケイヒ</t>
    </rPh>
    <rPh sb="13" eb="14">
      <t>ノゾ</t>
    </rPh>
    <rPh sb="16" eb="18">
      <t>カドヅ</t>
    </rPh>
    <rPh sb="18" eb="19">
      <t>フク</t>
    </rPh>
    <phoneticPr fontId="2"/>
  </si>
  <si>
    <t>祭礼運営経費：支出合計：</t>
    <rPh sb="0" eb="2">
      <t>サイレイ</t>
    </rPh>
    <rPh sb="2" eb="4">
      <t>ウンエイ</t>
    </rPh>
    <rPh sb="4" eb="6">
      <t>ケイヒ</t>
    </rPh>
    <rPh sb="7" eb="9">
      <t>シシュツ</t>
    </rPh>
    <rPh sb="9" eb="11">
      <t>ゴウケイ</t>
    </rPh>
    <phoneticPr fontId="2"/>
  </si>
  <si>
    <t>←本年度収支は赤字</t>
    <rPh sb="1" eb="4">
      <t>ホンネンド</t>
    </rPh>
    <rPh sb="4" eb="6">
      <t>シュウシ</t>
    </rPh>
    <rPh sb="7" eb="9">
      <t>アカジ</t>
    </rPh>
    <phoneticPr fontId="2"/>
  </si>
  <si>
    <t>消耗品</t>
    <rPh sb="0" eb="3">
      <t>ショウモウヒン</t>
    </rPh>
    <phoneticPr fontId="2"/>
  </si>
  <si>
    <t>寄付への返礼費</t>
    <rPh sb="0" eb="2">
      <t>キフ</t>
    </rPh>
    <rPh sb="4" eb="6">
      <t>ヘンレイ</t>
    </rPh>
    <rPh sb="6" eb="7">
      <t>ヒ</t>
    </rPh>
    <phoneticPr fontId="2"/>
  </si>
  <si>
    <t>委員準備・片付け費</t>
    <rPh sb="0" eb="2">
      <t>イイン</t>
    </rPh>
    <rPh sb="2" eb="4">
      <t>ジュンビ</t>
    </rPh>
    <rPh sb="5" eb="7">
      <t>カタヅ</t>
    </rPh>
    <rPh sb="8" eb="9">
      <t>ヒ</t>
    </rPh>
    <phoneticPr fontId="2"/>
  </si>
  <si>
    <t>詳細は別途</t>
    <rPh sb="0" eb="2">
      <t>ショウサイ</t>
    </rPh>
    <rPh sb="3" eb="5">
      <t>ベット</t>
    </rPh>
    <phoneticPr fontId="2"/>
  </si>
  <si>
    <t>渉外費</t>
    <rPh sb="0" eb="3">
      <t>ショウガイヒ</t>
    </rPh>
    <phoneticPr fontId="2"/>
  </si>
  <si>
    <t>門付け分配費</t>
    <rPh sb="0" eb="2">
      <t>カドヅ</t>
    </rPh>
    <rPh sb="3" eb="5">
      <t>ブンパイ</t>
    </rPh>
    <rPh sb="5" eb="6">
      <t>ヒ</t>
    </rPh>
    <phoneticPr fontId="2"/>
  </si>
  <si>
    <t>会員（1区12班）</t>
    <rPh sb="0" eb="2">
      <t>カイイン</t>
    </rPh>
    <rPh sb="4" eb="5">
      <t>ク</t>
    </rPh>
    <rPh sb="7" eb="8">
      <t>ハン</t>
    </rPh>
    <phoneticPr fontId="2"/>
  </si>
  <si>
    <t>少年部諸経費</t>
    <rPh sb="0" eb="3">
      <t>ショウネンブ</t>
    </rPh>
    <rPh sb="3" eb="6">
      <t>ショケイヒ</t>
    </rPh>
    <phoneticPr fontId="2"/>
  </si>
  <si>
    <t>雑貨購入　交通費</t>
    <rPh sb="0" eb="2">
      <t>ザッカ</t>
    </rPh>
    <rPh sb="2" eb="4">
      <t>コウニュウ</t>
    </rPh>
    <rPh sb="5" eb="8">
      <t>コウツウヒ</t>
    </rPh>
    <phoneticPr fontId="2"/>
  </si>
  <si>
    <t>吉田千恵子</t>
    <rPh sb="0" eb="2">
      <t>ヨシダ</t>
    </rPh>
    <rPh sb="2" eb="5">
      <t>チエコ</t>
    </rPh>
    <phoneticPr fontId="2"/>
  </si>
  <si>
    <t>伊藤千春</t>
    <rPh sb="0" eb="2">
      <t>イトウ</t>
    </rPh>
    <rPh sb="2" eb="4">
      <t>チハル</t>
    </rPh>
    <phoneticPr fontId="2"/>
  </si>
  <si>
    <t>冨山ゆみ</t>
    <rPh sb="0" eb="2">
      <t>トミヤマ</t>
    </rPh>
    <phoneticPr fontId="2"/>
  </si>
  <si>
    <t>南部市場</t>
    <rPh sb="0" eb="4">
      <t>ナンブイチバ</t>
    </rPh>
    <phoneticPr fontId="2"/>
  </si>
  <si>
    <t>エイビー</t>
    <phoneticPr fontId="2"/>
  </si>
  <si>
    <t>ＭＥＧＡドンキ</t>
    <phoneticPr fontId="2"/>
  </si>
  <si>
    <t>食料品購入　交通費</t>
    <rPh sb="0" eb="3">
      <t>ショクリョウヒン</t>
    </rPh>
    <rPh sb="3" eb="5">
      <t>コウニュウ</t>
    </rPh>
    <rPh sb="6" eb="9">
      <t>コウツウヒ</t>
    </rPh>
    <phoneticPr fontId="2"/>
  </si>
  <si>
    <t>菓子購入　交通費</t>
    <rPh sb="0" eb="2">
      <t>カシ</t>
    </rPh>
    <rPh sb="2" eb="4">
      <t>コウニュウ</t>
    </rPh>
    <rPh sb="5" eb="8">
      <t>コウツウヒ</t>
    </rPh>
    <phoneticPr fontId="2"/>
  </si>
  <si>
    <t>←[]</t>
    <phoneticPr fontId="2"/>
  </si>
  <si>
    <t>←[No.1]前年度繰越金</t>
    <phoneticPr fontId="2"/>
  </si>
  <si>
    <t>※［］括弧内のNo.は、（別紙XX）祭礼会計　日付順　資料より。</t>
    <rPh sb="3" eb="5">
      <t>カッコ</t>
    </rPh>
    <rPh sb="5" eb="6">
      <t>ナイ</t>
    </rPh>
    <rPh sb="13" eb="15">
      <t>ベッシ</t>
    </rPh>
    <rPh sb="18" eb="20">
      <t>サイレイ</t>
    </rPh>
    <rPh sb="20" eb="22">
      <t>カイケイ</t>
    </rPh>
    <rPh sb="23" eb="26">
      <t>ヒヅケジュン</t>
    </rPh>
    <rPh sb="27" eb="29">
      <t>シリョウ</t>
    </rPh>
    <phoneticPr fontId="2"/>
  </si>
  <si>
    <t>決算利息　９月分</t>
    <rPh sb="0" eb="2">
      <t>ケッサン</t>
    </rPh>
    <rPh sb="2" eb="4">
      <t>リソク</t>
    </rPh>
    <rPh sb="6" eb="7">
      <t>ガツ</t>
    </rPh>
    <rPh sb="7" eb="8">
      <t>ブン</t>
    </rPh>
    <phoneticPr fontId="2"/>
  </si>
  <si>
    <t>決算利息　３月分</t>
    <rPh sb="0" eb="2">
      <t>ケッサン</t>
    </rPh>
    <rPh sb="2" eb="4">
      <t>リソク</t>
    </rPh>
    <rPh sb="6" eb="7">
      <t>ガツ</t>
    </rPh>
    <rPh sb="7" eb="8">
      <t>ブン</t>
    </rPh>
    <phoneticPr fontId="2"/>
  </si>
  <si>
    <t>2024年3月31日現在の残高</t>
    <rPh sb="4" eb="5">
      <t>ネン</t>
    </rPh>
    <rPh sb="6" eb="7">
      <t>ツキ</t>
    </rPh>
    <rPh sb="9" eb="10">
      <t>ニチ</t>
    </rPh>
    <rPh sb="10" eb="12">
      <t>ゲンザイ</t>
    </rPh>
    <rPh sb="13" eb="15">
      <t>ザンダカ</t>
    </rPh>
    <phoneticPr fontId="2"/>
  </si>
  <si>
    <t>→8/6精算（1,000円）</t>
    <rPh sb="4" eb="6">
      <t>セイサン</t>
    </rPh>
    <rPh sb="12" eb="13">
      <t>エン</t>
    </rPh>
    <phoneticPr fontId="2"/>
  </si>
  <si>
    <t>→8/6精算（360円）</t>
    <rPh sb="4" eb="6">
      <t>セイサン</t>
    </rPh>
    <rPh sb="10" eb="11">
      <t>エン</t>
    </rPh>
    <phoneticPr fontId="2"/>
  </si>
  <si>
    <t>松村会長交通費精算</t>
    <rPh sb="0" eb="2">
      <t>マツムラ</t>
    </rPh>
    <rPh sb="2" eb="4">
      <t>カイチョウ</t>
    </rPh>
    <rPh sb="4" eb="7">
      <t>コウツウヒ</t>
    </rPh>
    <rPh sb="7" eb="9">
      <t>セイサン</t>
    </rPh>
    <phoneticPr fontId="2"/>
  </si>
  <si>
    <t>7/10、7/14、7/29の交通費</t>
    <rPh sb="15" eb="18">
      <t>コウツウヒ</t>
    </rPh>
    <phoneticPr fontId="2"/>
  </si>
  <si>
    <t>会長立替分の清算</t>
    <rPh sb="0" eb="2">
      <t>カイチョウ</t>
    </rPh>
    <rPh sb="2" eb="4">
      <t>タテカエ</t>
    </rPh>
    <rPh sb="4" eb="5">
      <t>ブン</t>
    </rPh>
    <rPh sb="6" eb="8">
      <t>セイサン</t>
    </rPh>
    <phoneticPr fontId="2"/>
  </si>
  <si>
    <t>少年部祭礼活動費</t>
    <rPh sb="0" eb="3">
      <t>ショウネンブ</t>
    </rPh>
    <rPh sb="3" eb="5">
      <t>サイレイ</t>
    </rPh>
    <rPh sb="5" eb="7">
      <t>カツドウ</t>
    </rPh>
    <rPh sb="7" eb="8">
      <t>ヒ</t>
    </rPh>
    <phoneticPr fontId="2"/>
  </si>
  <si>
    <t>詳細は別紙</t>
    <rPh sb="0" eb="2">
      <t>ショウサイ</t>
    </rPh>
    <rPh sb="3" eb="5">
      <t>ベッシ</t>
    </rPh>
    <phoneticPr fontId="2"/>
  </si>
  <si>
    <t>一般会計への貸付</t>
    <rPh sb="0" eb="4">
      <t>イッパンカイケイ</t>
    </rPh>
    <rPh sb="6" eb="8">
      <t>カシツケ</t>
    </rPh>
    <phoneticPr fontId="2"/>
  </si>
  <si>
    <t>白封筒（返礼用） 250枚</t>
    <rPh sb="0" eb="1">
      <t>シロ</t>
    </rPh>
    <rPh sb="1" eb="3">
      <t>フウトウ</t>
    </rPh>
    <rPh sb="4" eb="7">
      <t>ヘンレイヨウ</t>
    </rPh>
    <rPh sb="12" eb="13">
      <t>マイ</t>
    </rPh>
    <phoneticPr fontId="2"/>
  </si>
  <si>
    <t>B5用紙100、のし100枚</t>
    <rPh sb="2" eb="4">
      <t>ヨウシ</t>
    </rPh>
    <rPh sb="13" eb="14">
      <t>マイ</t>
    </rPh>
    <phoneticPr fontId="2"/>
  </si>
  <si>
    <t>電池（神輿照明用）</t>
    <rPh sb="0" eb="2">
      <t>デンチ</t>
    </rPh>
    <rPh sb="3" eb="5">
      <t>ミコシ</t>
    </rPh>
    <rPh sb="5" eb="8">
      <t>ショウメイヨウ</t>
    </rPh>
    <phoneticPr fontId="2"/>
  </si>
  <si>
    <t>SEIYU</t>
    <phoneticPr fontId="2"/>
  </si>
  <si>
    <t>電池、バブルライト（神輿照明用）</t>
    <rPh sb="0" eb="2">
      <t>デンチ</t>
    </rPh>
    <rPh sb="10" eb="12">
      <t>ミコシ</t>
    </rPh>
    <rPh sb="12" eb="15">
      <t>ショウメイヨウ</t>
    </rPh>
    <phoneticPr fontId="2"/>
  </si>
  <si>
    <t>配布用タオル600枚</t>
    <rPh sb="0" eb="3">
      <t>ハイフヨウ</t>
    </rPh>
    <rPh sb="9" eb="10">
      <t>マイ</t>
    </rPh>
    <phoneticPr fontId="2"/>
  </si>
  <si>
    <t>ニュー・ニサン</t>
    <phoneticPr fontId="2"/>
  </si>
  <si>
    <t>準備委員オードブル</t>
    <rPh sb="0" eb="2">
      <t>ジュンビ</t>
    </rPh>
    <rPh sb="2" eb="4">
      <t>イイン</t>
    </rPh>
    <phoneticPr fontId="2"/>
  </si>
  <si>
    <t>菅野</t>
    <rPh sb="0" eb="2">
      <t>スゲノ</t>
    </rPh>
    <phoneticPr fontId="2"/>
  </si>
  <si>
    <t>藤田</t>
    <rPh sb="0" eb="2">
      <t>フジタ</t>
    </rPh>
    <phoneticPr fontId="2"/>
  </si>
  <si>
    <t>高島</t>
    <rPh sb="0" eb="2">
      <t>タカシマ</t>
    </rPh>
    <phoneticPr fontId="2"/>
  </si>
  <si>
    <t>牧野5,000、均5,000、溝口2,000</t>
    <rPh sb="0" eb="2">
      <t>マキノ</t>
    </rPh>
    <rPh sb="8" eb="9">
      <t>ヒトシ</t>
    </rPh>
    <rPh sb="15" eb="17">
      <t>ミゾグチ</t>
    </rPh>
    <phoneticPr fontId="2"/>
  </si>
  <si>
    <t>会員（１区１１班）</t>
    <rPh sb="0" eb="2">
      <t>カイイン</t>
    </rPh>
    <rPh sb="4" eb="5">
      <t>ク</t>
    </rPh>
    <rPh sb="7" eb="8">
      <t>ハン</t>
    </rPh>
    <phoneticPr fontId="2"/>
  </si>
  <si>
    <t>1区9班、2-5佐々木を含む別紙①</t>
    <rPh sb="1" eb="2">
      <t>ク</t>
    </rPh>
    <rPh sb="3" eb="4">
      <t>ハン</t>
    </rPh>
    <rPh sb="8" eb="11">
      <t>ササキ</t>
    </rPh>
    <rPh sb="12" eb="13">
      <t>フク</t>
    </rPh>
    <rPh sb="14" eb="16">
      <t>ベッシ</t>
    </rPh>
    <phoneticPr fontId="2"/>
  </si>
  <si>
    <t>別紙②奉納金</t>
    <rPh sb="0" eb="2">
      <t>ベッシ</t>
    </rPh>
    <phoneticPr fontId="2"/>
  </si>
  <si>
    <t>別紙③門付</t>
    <rPh sb="0" eb="2">
      <t>ベッシ</t>
    </rPh>
    <rPh sb="3" eb="5">
      <t>カドヅ</t>
    </rPh>
    <phoneticPr fontId="2"/>
  </si>
  <si>
    <t>門付</t>
    <rPh sb="0" eb="1">
      <t>カド</t>
    </rPh>
    <rPh sb="1" eb="2">
      <t>ツケ</t>
    </rPh>
    <phoneticPr fontId="2"/>
  </si>
  <si>
    <t>(1万x4)+(5千x11)+(3千x6)+1千</t>
    <rPh sb="2" eb="3">
      <t>マン</t>
    </rPh>
    <rPh sb="9" eb="10">
      <t>セン</t>
    </rPh>
    <rPh sb="17" eb="18">
      <t>セン</t>
    </rPh>
    <rPh sb="23" eb="24">
      <t>セン</t>
    </rPh>
    <phoneticPr fontId="2"/>
  </si>
  <si>
    <t>(5千x2)</t>
    <rPh sb="2" eb="3">
      <t>セン</t>
    </rPh>
    <phoneticPr fontId="2"/>
  </si>
  <si>
    <t>(1万x3)+(5千x26)+(3千x7)</t>
    <rPh sb="2" eb="3">
      <t>マン</t>
    </rPh>
    <rPh sb="9" eb="10">
      <t>セン</t>
    </rPh>
    <rPh sb="17" eb="18">
      <t>セン</t>
    </rPh>
    <phoneticPr fontId="2"/>
  </si>
  <si>
    <t>支度金仮払い</t>
    <rPh sb="0" eb="3">
      <t>シタクキン</t>
    </rPh>
    <rPh sb="3" eb="5">
      <t>カリバラ</t>
    </rPh>
    <phoneticPr fontId="2"/>
  </si>
  <si>
    <t>(1万x1)+(5千x2)</t>
    <rPh sb="2" eb="3">
      <t>マン</t>
    </rPh>
    <rPh sb="9" eb="10">
      <t>セン</t>
    </rPh>
    <phoneticPr fontId="2"/>
  </si>
  <si>
    <t>(5千x1)</t>
    <rPh sb="2" eb="3">
      <t>セン</t>
    </rPh>
    <phoneticPr fontId="2"/>
  </si>
  <si>
    <t>(1万x1)+(5千x5)+(3千x2)</t>
    <rPh sb="2" eb="3">
      <t>マン</t>
    </rPh>
    <rPh sb="9" eb="10">
      <t>セン</t>
    </rPh>
    <rPh sb="16" eb="17">
      <t>セン</t>
    </rPh>
    <phoneticPr fontId="2"/>
  </si>
  <si>
    <t>↓昨年度</t>
    <rPh sb="1" eb="4">
      <t>サクネンド</t>
    </rPh>
    <phoneticPr fontId="2"/>
  </si>
  <si>
    <t>前回差（R6-R5）</t>
    <rPh sb="0" eb="2">
      <t>ゼンカイ</t>
    </rPh>
    <rPh sb="2" eb="3">
      <t>サ</t>
    </rPh>
    <phoneticPr fontId="2"/>
  </si>
  <si>
    <t>（R5）40名→（R6）40名</t>
    <rPh sb="6" eb="7">
      <t>メイ</t>
    </rPh>
    <rPh sb="14" eb="15">
      <t>メイ</t>
    </rPh>
    <phoneticPr fontId="2"/>
  </si>
  <si>
    <t>前年度繰越金を含む。</t>
    <rPh sb="0" eb="3">
      <t>ゼンネンド</t>
    </rPh>
    <rPh sb="3" eb="6">
      <t>クリコシキン</t>
    </rPh>
    <rPh sb="7" eb="8">
      <t>フク</t>
    </rPh>
    <phoneticPr fontId="2"/>
  </si>
  <si>
    <t>収入合計②：</t>
    <rPh sb="2" eb="4">
      <t>ゴウケイ</t>
    </rPh>
    <phoneticPr fontId="2"/>
  </si>
  <si>
    <t>単年度（繰越金及び門付け含まず）</t>
    <rPh sb="4" eb="7">
      <t>クリコシキン</t>
    </rPh>
    <rPh sb="7" eb="8">
      <t>オヨ</t>
    </rPh>
    <rPh sb="9" eb="11">
      <t>カドヅ</t>
    </rPh>
    <rPh sb="12" eb="13">
      <t>フク</t>
    </rPh>
    <phoneticPr fontId="2"/>
  </si>
  <si>
    <t>内訳①食事・飲み物</t>
    <rPh sb="0" eb="2">
      <t>ウチワケ</t>
    </rPh>
    <phoneticPr fontId="2"/>
  </si>
  <si>
    <t>1a</t>
    <phoneticPr fontId="2"/>
  </si>
  <si>
    <t>1b</t>
    <phoneticPr fontId="2"/>
  </si>
  <si>
    <t>35万円仮払い中</t>
    <rPh sb="2" eb="4">
      <t>マンエン</t>
    </rPh>
    <rPh sb="4" eb="6">
      <t>カリバラ</t>
    </rPh>
    <rPh sb="7" eb="8">
      <t>チュウ</t>
    </rPh>
    <phoneticPr fontId="2"/>
  </si>
  <si>
    <t>わら縄大巻１</t>
    <rPh sb="2" eb="3">
      <t>ナワ</t>
    </rPh>
    <rPh sb="3" eb="5">
      <t>オオマキ</t>
    </rPh>
    <phoneticPr fontId="2"/>
  </si>
  <si>
    <t>橋本</t>
    <rPh sb="0" eb="2">
      <t>ハシモト</t>
    </rPh>
    <phoneticPr fontId="2"/>
  </si>
  <si>
    <t>内訳②お酒類・氷等</t>
    <rPh sb="0" eb="2">
      <t>ウチワケ</t>
    </rPh>
    <rPh sb="7" eb="8">
      <t>コオリ</t>
    </rPh>
    <rPh sb="8" eb="9">
      <t>トウ</t>
    </rPh>
    <phoneticPr fontId="2"/>
  </si>
  <si>
    <t>氷　３kg×16個×＠247円</t>
    <rPh sb="0" eb="1">
      <t>コオリ</t>
    </rPh>
    <phoneticPr fontId="2"/>
  </si>
  <si>
    <t>オーケー金沢文庫店</t>
    <phoneticPr fontId="2"/>
  </si>
  <si>
    <t>湘南タイヤ株式会社</t>
  </si>
  <si>
    <t>山車タイヤ　バルブ交換</t>
    <rPh sb="0" eb="2">
      <t>ダシ</t>
    </rPh>
    <rPh sb="9" eb="11">
      <t>コウカン</t>
    </rPh>
    <phoneticPr fontId="2"/>
  </si>
  <si>
    <t>爲廣</t>
    <rPh sb="0" eb="2">
      <t>タメヒロ</t>
    </rPh>
    <phoneticPr fontId="2"/>
  </si>
  <si>
    <t>耐水奉書紙　A4　100枚×３</t>
    <rPh sb="0" eb="2">
      <t>タイスイ</t>
    </rPh>
    <rPh sb="2" eb="4">
      <t>ホウショ</t>
    </rPh>
    <rPh sb="4" eb="5">
      <t>シ</t>
    </rPh>
    <rPh sb="12" eb="13">
      <t>マイ</t>
    </rPh>
    <phoneticPr fontId="2"/>
  </si>
  <si>
    <t>ペーパーミツヤマ</t>
    <phoneticPr fontId="2"/>
  </si>
  <si>
    <t>吉野家</t>
    <rPh sb="0" eb="3">
      <t>ヨシノヤ</t>
    </rPh>
    <phoneticPr fontId="2"/>
  </si>
  <si>
    <t>牛丼並　＠460円×３３</t>
    <phoneticPr fontId="2"/>
  </si>
  <si>
    <t>白十字晒４反</t>
    <rPh sb="0" eb="3">
      <t>ハクジュウジ</t>
    </rPh>
    <rPh sb="3" eb="4">
      <t>サラシ</t>
    </rPh>
    <rPh sb="5" eb="6">
      <t>タン</t>
    </rPh>
    <phoneticPr fontId="2"/>
  </si>
  <si>
    <t>お供え餅</t>
    <rPh sb="1" eb="2">
      <t>ソナ</t>
    </rPh>
    <rPh sb="3" eb="4">
      <t>モチ</t>
    </rPh>
    <phoneticPr fontId="2"/>
  </si>
  <si>
    <t>お供え 赤飯</t>
    <rPh sb="4" eb="6">
      <t>セキハン</t>
    </rPh>
    <phoneticPr fontId="2"/>
  </si>
  <si>
    <t>謝礼（直会会場提供）</t>
    <rPh sb="0" eb="2">
      <t>シャレイ</t>
    </rPh>
    <rPh sb="7" eb="9">
      <t>テイキョウ</t>
    </rPh>
    <phoneticPr fontId="2"/>
  </si>
  <si>
    <t>風呂券11枚</t>
    <phoneticPr fontId="2"/>
  </si>
  <si>
    <t>7/28反省会食事代</t>
    <rPh sb="4" eb="6">
      <t>ハンセイ</t>
    </rPh>
    <rPh sb="6" eb="7">
      <t>カイ</t>
    </rPh>
    <rPh sb="7" eb="10">
      <t>ショクジダイ</t>
    </rPh>
    <phoneticPr fontId="2"/>
  </si>
  <si>
    <t>（神輿用）金ブロンズ足長よーと22ｍ</t>
    <rPh sb="1" eb="3">
      <t>ミコシ</t>
    </rPh>
    <rPh sb="3" eb="4">
      <t>ヨウ</t>
    </rPh>
    <rPh sb="5" eb="6">
      <t>キン</t>
    </rPh>
    <rPh sb="10" eb="12">
      <t>アシナガ</t>
    </rPh>
    <phoneticPr fontId="2"/>
  </si>
  <si>
    <t>高橋し</t>
    <rPh sb="0" eb="2">
      <t>タカハシ</t>
    </rPh>
    <phoneticPr fontId="2"/>
  </si>
  <si>
    <t>高橋し</t>
    <phoneticPr fontId="2"/>
  </si>
  <si>
    <t>高橋（し）理事へ</t>
    <rPh sb="0" eb="2">
      <t>タカハシ</t>
    </rPh>
    <rPh sb="5" eb="7">
      <t>リジ</t>
    </rPh>
    <phoneticPr fontId="2"/>
  </si>
  <si>
    <t>祭礼実行委員長：青山さん</t>
    <rPh sb="0" eb="2">
      <t>サイレイ</t>
    </rPh>
    <rPh sb="2" eb="4">
      <t>ジッコウ</t>
    </rPh>
    <rPh sb="4" eb="7">
      <t>イインチョウ</t>
    </rPh>
    <rPh sb="8" eb="10">
      <t>アオヤマ</t>
    </rPh>
    <phoneticPr fontId="2"/>
  </si>
  <si>
    <t>三宝（野菜・果物）、餅、赤飯</t>
    <rPh sb="10" eb="11">
      <t>モチ</t>
    </rPh>
    <rPh sb="12" eb="14">
      <t>セキハン</t>
    </rPh>
    <phoneticPr fontId="2"/>
  </si>
  <si>
    <t>↓【緑色の金額は未確定】</t>
    <rPh sb="2" eb="3">
      <t>ミドリ</t>
    </rPh>
    <rPh sb="3" eb="4">
      <t>イロ</t>
    </rPh>
    <rPh sb="5" eb="7">
      <t>キンガク</t>
    </rPh>
    <rPh sb="8" eb="11">
      <t>ミカクテイ</t>
    </rPh>
    <phoneticPr fontId="2"/>
  </si>
  <si>
    <t>支出合計①：</t>
    <rPh sb="0" eb="2">
      <t>シシュツ</t>
    </rPh>
    <rPh sb="2" eb="4">
      <t>ゴウケイ</t>
    </rPh>
    <phoneticPr fontId="2"/>
  </si>
  <si>
    <t>次年度繰越金を含む。</t>
    <rPh sb="0" eb="3">
      <t>ジネンド</t>
    </rPh>
    <rPh sb="3" eb="6">
      <t>クリコシキン</t>
    </rPh>
    <rPh sb="7" eb="8">
      <t>フク</t>
    </rPh>
    <phoneticPr fontId="2"/>
  </si>
  <si>
    <t>支出合計②：</t>
    <rPh sb="0" eb="2">
      <t>シシュツ</t>
    </rPh>
    <rPh sb="2" eb="4">
      <t>ゴウケイ</t>
    </rPh>
    <phoneticPr fontId="2"/>
  </si>
  <si>
    <t>R６年単年度収支：</t>
    <rPh sb="2" eb="3">
      <t>ネン</t>
    </rPh>
    <rPh sb="3" eb="6">
      <t>タンネンド</t>
    </rPh>
    <rPh sb="6" eb="8">
      <t>シュウシ</t>
    </rPh>
    <phoneticPr fontId="2"/>
  </si>
  <si>
    <t>飲食</t>
    <rPh sb="0" eb="2">
      <t>インショク</t>
    </rPh>
    <phoneticPr fontId="2"/>
  </si>
  <si>
    <t>紅白幕用の紐（ひも）購入検討</t>
    <rPh sb="0" eb="2">
      <t>コウハク</t>
    </rPh>
    <rPh sb="2" eb="3">
      <t>マク</t>
    </rPh>
    <rPh sb="3" eb="4">
      <t>ヨウ</t>
    </rPh>
    <rPh sb="5" eb="6">
      <t>ヒモ</t>
    </rPh>
    <rPh sb="10" eb="12">
      <t>コウニュウ</t>
    </rPh>
    <rPh sb="12" eb="14">
      <t>ケントウ</t>
    </rPh>
    <phoneticPr fontId="2"/>
  </si>
  <si>
    <t>Ｒ６収入\</t>
    <rPh sb="2" eb="4">
      <t>シュウニュウ</t>
    </rPh>
    <phoneticPr fontId="2"/>
  </si>
  <si>
    <t>Ｒ５収入\</t>
    <rPh sb="2" eb="4">
      <t>シュウニュウ</t>
    </rPh>
    <phoneticPr fontId="2"/>
  </si>
  <si>
    <t>Ｒ６支出\</t>
    <rPh sb="2" eb="4">
      <t>シシュツ</t>
    </rPh>
    <phoneticPr fontId="2"/>
  </si>
  <si>
    <t>Ｒ５支出\</t>
    <rPh sb="2" eb="4">
      <t>シシュツ</t>
    </rPh>
    <phoneticPr fontId="2"/>
  </si>
  <si>
    <t>エイヴィ、オーケー</t>
    <phoneticPr fontId="2"/>
  </si>
  <si>
    <r>
      <t>（R5）176世帯→</t>
    </r>
    <r>
      <rPr>
        <sz val="12"/>
        <color rgb="FFFF0000"/>
        <rFont val="ＭＳ Ｐゴシック"/>
        <family val="3"/>
        <charset val="128"/>
        <scheme val="minor"/>
      </rPr>
      <t xml:space="preserve">（R6）168世帯
※25世帯(15%相当)で寄付金額が前年度下回る。
</t>
    </r>
    <r>
      <rPr>
        <sz val="12"/>
        <color rgb="FF0070C0"/>
        <rFont val="ＭＳ Ｐゴシック"/>
        <family val="3"/>
        <charset val="128"/>
        <scheme val="minor"/>
      </rPr>
      <t>※19世帯(11%相当)で寄付金額が前年度上回る。</t>
    </r>
    <rPh sb="23" eb="25">
      <t>セタイ</t>
    </rPh>
    <rPh sb="29" eb="31">
      <t>ソウトウ</t>
    </rPh>
    <rPh sb="33" eb="37">
      <t>キフキンガク</t>
    </rPh>
    <rPh sb="38" eb="41">
      <t>ゼンネンド</t>
    </rPh>
    <rPh sb="41" eb="43">
      <t>シタマワ</t>
    </rPh>
    <rPh sb="49" eb="51">
      <t>セタイ</t>
    </rPh>
    <rPh sb="55" eb="57">
      <t>ソウトウ</t>
    </rPh>
    <rPh sb="67" eb="68">
      <t>ウエ</t>
    </rPh>
    <phoneticPr fontId="2"/>
  </si>
  <si>
    <r>
      <t>（R5）27名→</t>
    </r>
    <r>
      <rPr>
        <sz val="12"/>
        <color rgb="FF0070C0"/>
        <rFont val="ＭＳ Ｐゴシック"/>
        <family val="3"/>
        <charset val="128"/>
        <scheme val="minor"/>
      </rPr>
      <t>（R6）37名</t>
    </r>
    <rPh sb="6" eb="7">
      <t>メイ</t>
    </rPh>
    <rPh sb="14" eb="15">
      <t>メイ</t>
    </rPh>
    <phoneticPr fontId="2"/>
  </si>
  <si>
    <r>
      <t>賽銭、酒オークション、</t>
    </r>
    <r>
      <rPr>
        <sz val="12"/>
        <color rgb="FF00B050"/>
        <rFont val="ＭＳ Ｐゴシック"/>
        <family val="3"/>
        <charset val="128"/>
        <scheme val="minor"/>
      </rPr>
      <t>預金利息</t>
    </r>
    <rPh sb="0" eb="2">
      <t>サイセン</t>
    </rPh>
    <rPh sb="3" eb="4">
      <t>サケ</t>
    </rPh>
    <rPh sb="11" eb="13">
      <t>ヨキン</t>
    </rPh>
    <rPh sb="13" eb="15">
      <t>リソク</t>
    </rPh>
    <phoneticPr fontId="2"/>
  </si>
  <si>
    <r>
      <t>返礼用のし、封筒、</t>
    </r>
    <r>
      <rPr>
        <b/>
        <sz val="12"/>
        <color theme="1"/>
        <rFont val="ＭＳ Ｐゴシック"/>
        <family val="3"/>
        <charset val="128"/>
        <scheme val="minor"/>
      </rPr>
      <t>タオル含まず</t>
    </r>
    <rPh sb="0" eb="2">
      <t>ヘンレイ</t>
    </rPh>
    <rPh sb="2" eb="3">
      <t>ヨウ</t>
    </rPh>
    <rPh sb="6" eb="8">
      <t>フウトウ</t>
    </rPh>
    <rPh sb="12" eb="13">
      <t>フク</t>
    </rPh>
    <phoneticPr fontId="2"/>
  </si>
  <si>
    <r>
      <t>ｸﾘｰﾆﾝｸﾞ、交通費、</t>
    </r>
    <r>
      <rPr>
        <sz val="12"/>
        <rFont val="ＭＳ Ｐゴシック"/>
        <family val="3"/>
        <charset val="128"/>
        <scheme val="minor"/>
      </rPr>
      <t>道路使用、謝礼</t>
    </r>
    <rPh sb="8" eb="11">
      <t>コウツウヒ</t>
    </rPh>
    <rPh sb="12" eb="16">
      <t>ドウロシヨウ</t>
    </rPh>
    <rPh sb="17" eb="19">
      <t>シャレイ</t>
    </rPh>
    <phoneticPr fontId="2"/>
  </si>
  <si>
    <t>門付け額の５割相当（千円未満切り捨て）</t>
    <rPh sb="0" eb="2">
      <t>カドヅ</t>
    </rPh>
    <rPh sb="3" eb="4">
      <t>ガク</t>
    </rPh>
    <rPh sb="6" eb="7">
      <t>ワリ</t>
    </rPh>
    <rPh sb="7" eb="9">
      <t>ソウトウ</t>
    </rPh>
    <rPh sb="10" eb="12">
      <t>センエン</t>
    </rPh>
    <rPh sb="12" eb="14">
      <t>ミマン</t>
    </rPh>
    <rPh sb="14" eb="15">
      <t>キ</t>
    </rPh>
    <rPh sb="16" eb="17">
      <t>ス</t>
    </rPh>
    <phoneticPr fontId="2"/>
  </si>
  <si>
    <t>福寿さん</t>
    <rPh sb="0" eb="2">
      <t>フクジュ</t>
    </rPh>
    <phoneticPr fontId="2"/>
  </si>
  <si>
    <t>Evi</t>
    <phoneticPr fontId="2"/>
  </si>
  <si>
    <t>通帳</t>
    <rPh sb="0" eb="2">
      <t>ツウチョウ</t>
    </rPh>
    <phoneticPr fontId="2"/>
  </si>
  <si>
    <t>‐</t>
    <phoneticPr fontId="2"/>
  </si>
  <si>
    <t>長浦祭礼実行委員会</t>
    <rPh sb="0" eb="2">
      <t>ナガウラ</t>
    </rPh>
    <rPh sb="2" eb="4">
      <t>サイレイ</t>
    </rPh>
    <rPh sb="4" eb="6">
      <t>ジッコウ</t>
    </rPh>
    <rPh sb="6" eb="9">
      <t>イインカイ</t>
    </rPh>
    <phoneticPr fontId="2"/>
  </si>
  <si>
    <t>謝礼（山車の保管場所提供）</t>
    <phoneticPr fontId="2"/>
  </si>
  <si>
    <t>（詳細は別紙）</t>
    <rPh sb="1" eb="3">
      <t>ショウサイ</t>
    </rPh>
    <rPh sb="4" eb="6">
      <t>ベッシ</t>
    </rPh>
    <phoneticPr fontId="2"/>
  </si>
  <si>
    <t>酒類ほか</t>
    <rPh sb="0" eb="2">
      <t>サケルイ</t>
    </rPh>
    <phoneticPr fontId="2"/>
  </si>
  <si>
    <t>1-1新井　別紙①</t>
    <rPh sb="3" eb="5">
      <t>アライ</t>
    </rPh>
    <phoneticPr fontId="2"/>
  </si>
  <si>
    <t>1区11班　別紙①</t>
    <rPh sb="1" eb="2">
      <t>ク</t>
    </rPh>
    <rPh sb="4" eb="5">
      <t>ハン</t>
    </rPh>
    <phoneticPr fontId="2"/>
  </si>
  <si>
    <t>\71,510伝票分割(1/2)</t>
    <rPh sb="7" eb="9">
      <t>デンピョウ</t>
    </rPh>
    <rPh sb="9" eb="11">
      <t>ブンカツ</t>
    </rPh>
    <phoneticPr fontId="2"/>
  </si>
  <si>
    <t>\71,510伝票分割(2/2)</t>
    <rPh sb="7" eb="9">
      <t>デンピョウ</t>
    </rPh>
    <rPh sb="9" eb="11">
      <t>ブンカツ</t>
    </rPh>
    <phoneticPr fontId="2"/>
  </si>
  <si>
    <t>別紙② 牧野、佐久間、溝口</t>
    <rPh sb="4" eb="6">
      <t>マキノ</t>
    </rPh>
    <rPh sb="7" eb="10">
      <t>サクマ</t>
    </rPh>
    <rPh sb="11" eb="13">
      <t>ミゾグチ</t>
    </rPh>
    <phoneticPr fontId="2"/>
  </si>
  <si>
    <t>TSURUYA</t>
    <phoneticPr fontId="2"/>
  </si>
  <si>
    <t>三輪素麵（中根さん謝礼用）</t>
    <rPh sb="0" eb="4">
      <t>ミワソウメン</t>
    </rPh>
    <rPh sb="5" eb="7">
      <t>ナカネ</t>
    </rPh>
    <rPh sb="9" eb="11">
      <t>シャレイ</t>
    </rPh>
    <rPh sb="11" eb="12">
      <t>ヨウ</t>
    </rPh>
    <phoneticPr fontId="2"/>
  </si>
  <si>
    <t>伝票</t>
    <rPh sb="0" eb="2">
      <t>デンピョウ</t>
    </rPh>
    <phoneticPr fontId="2"/>
  </si>
  <si>
    <t>アイスクリーム ディッシャー</t>
    <phoneticPr fontId="2"/>
  </si>
  <si>
    <t>セリア南部市場店</t>
    <rPh sb="3" eb="7">
      <t>ナンブイチバ</t>
    </rPh>
    <rPh sb="7" eb="8">
      <t>テン</t>
    </rPh>
    <phoneticPr fontId="2"/>
  </si>
  <si>
    <t>ダイソービアレ横浜店</t>
    <rPh sb="7" eb="10">
      <t>ヨコハマテン</t>
    </rPh>
    <phoneticPr fontId="2"/>
  </si>
  <si>
    <t>軽量スプーン、ざる他</t>
    <rPh sb="0" eb="2">
      <t>ケイリョウ</t>
    </rPh>
    <rPh sb="9" eb="10">
      <t>ホカ</t>
    </rPh>
    <phoneticPr fontId="2"/>
  </si>
  <si>
    <t>エイビィ鳥居浜</t>
    <rPh sb="4" eb="7">
      <t>トリイハマ</t>
    </rPh>
    <phoneticPr fontId="2"/>
  </si>
  <si>
    <t>生茶、森永マミー他飲料</t>
    <rPh sb="0" eb="1">
      <t>ナマ</t>
    </rPh>
    <rPh sb="1" eb="2">
      <t>チャ</t>
    </rPh>
    <rPh sb="3" eb="5">
      <t>モリナガ</t>
    </rPh>
    <rPh sb="8" eb="9">
      <t>ホカ</t>
    </rPh>
    <rPh sb="9" eb="11">
      <t>インリョウ</t>
    </rPh>
    <phoneticPr fontId="2"/>
  </si>
  <si>
    <t>らっきょう、たくあん、鶏もも串他</t>
    <rPh sb="11" eb="12">
      <t>トリ</t>
    </rPh>
    <rPh sb="14" eb="15">
      <t>クシ</t>
    </rPh>
    <rPh sb="15" eb="16">
      <t>ホカ</t>
    </rPh>
    <phoneticPr fontId="2"/>
  </si>
  <si>
    <t>業務スーパー横須賀店</t>
    <rPh sb="0" eb="2">
      <t>ギョウム</t>
    </rPh>
    <rPh sb="6" eb="9">
      <t>ヨコスカ</t>
    </rPh>
    <rPh sb="9" eb="10">
      <t>テン</t>
    </rPh>
    <phoneticPr fontId="2"/>
  </si>
  <si>
    <t>オーケー金沢文庫店</t>
    <rPh sb="4" eb="8">
      <t>カナザワブンコ</t>
    </rPh>
    <rPh sb="8" eb="9">
      <t>テン</t>
    </rPh>
    <phoneticPr fontId="2"/>
  </si>
  <si>
    <t>焼きおにぎり、ほんだし、マヨネーズ他</t>
    <rPh sb="0" eb="1">
      <t>ヤ</t>
    </rPh>
    <rPh sb="17" eb="18">
      <t>ホカ</t>
    </rPh>
    <phoneticPr fontId="2"/>
  </si>
  <si>
    <t>とんがりコーン、おっとっと、麦茶</t>
    <rPh sb="14" eb="16">
      <t>ムギチャ</t>
    </rPh>
    <phoneticPr fontId="2"/>
  </si>
  <si>
    <t>ウッドデッキパネル他</t>
    <rPh sb="9" eb="10">
      <t>ホカ</t>
    </rPh>
    <phoneticPr fontId="2"/>
  </si>
  <si>
    <t>うずらの卵ほか</t>
    <rPh sb="4" eb="5">
      <t>タマゴ</t>
    </rPh>
    <phoneticPr fontId="2"/>
  </si>
  <si>
    <t>コストコ金沢シーサイド店</t>
    <rPh sb="4" eb="6">
      <t>カナザワ</t>
    </rPh>
    <rPh sb="11" eb="12">
      <t>テン</t>
    </rPh>
    <phoneticPr fontId="2"/>
  </si>
  <si>
    <t>三河屋商店</t>
    <rPh sb="0" eb="5">
      <t>ミカワヤショウテン</t>
    </rPh>
    <phoneticPr fontId="2"/>
  </si>
  <si>
    <t>角スパ（木べら）</t>
    <rPh sb="0" eb="1">
      <t>カク</t>
    </rPh>
    <rPh sb="4" eb="5">
      <t>キ</t>
    </rPh>
    <phoneticPr fontId="2"/>
  </si>
  <si>
    <t>水餃子、おつまみ各種</t>
    <rPh sb="0" eb="3">
      <t>スイギョウザ</t>
    </rPh>
    <rPh sb="8" eb="10">
      <t>カクシュ</t>
    </rPh>
    <phoneticPr fontId="2"/>
  </si>
  <si>
    <t>メラミンスポンジ、抗菌シートほか</t>
    <rPh sb="9" eb="11">
      <t>コウキン</t>
    </rPh>
    <phoneticPr fontId="2"/>
  </si>
  <si>
    <t>シャトレーゼ南部市場店</t>
    <rPh sb="6" eb="10">
      <t>ナンブイチバ</t>
    </rPh>
    <rPh sb="10" eb="11">
      <t>テン</t>
    </rPh>
    <phoneticPr fontId="2"/>
  </si>
  <si>
    <t>パンケーキ、ボンボン</t>
    <phoneticPr fontId="2"/>
  </si>
  <si>
    <t>容器　UFカップ105-360</t>
    <rPh sb="0" eb="2">
      <t>ヨウキ</t>
    </rPh>
    <phoneticPr fontId="2"/>
  </si>
  <si>
    <t>小林紙工</t>
    <rPh sb="0" eb="2">
      <t>コバヤシ</t>
    </rPh>
    <rPh sb="2" eb="3">
      <t>カミ</t>
    </rPh>
    <phoneticPr fontId="2"/>
  </si>
  <si>
    <t>オリマツ南部市場店</t>
    <rPh sb="4" eb="8">
      <t>ナンブイチバ</t>
    </rPh>
    <rPh sb="8" eb="9">
      <t>テン</t>
    </rPh>
    <phoneticPr fontId="2"/>
  </si>
  <si>
    <t>容器　各種</t>
    <rPh sb="0" eb="2">
      <t>ヨウキ</t>
    </rPh>
    <rPh sb="3" eb="5">
      <t>カクシュ</t>
    </rPh>
    <phoneticPr fontId="2"/>
  </si>
  <si>
    <t>発砲クーラーBOXほか</t>
    <rPh sb="0" eb="2">
      <t>ハッポウ</t>
    </rPh>
    <phoneticPr fontId="2"/>
  </si>
  <si>
    <t>ダイソーヴィスポ横須賀店</t>
    <rPh sb="8" eb="11">
      <t>ヨコスカ</t>
    </rPh>
    <rPh sb="11" eb="12">
      <t>テン</t>
    </rPh>
    <phoneticPr fontId="2"/>
  </si>
  <si>
    <t>エイビィ平成町</t>
    <rPh sb="4" eb="7">
      <t>ヘイセイチョウ</t>
    </rPh>
    <phoneticPr fontId="2"/>
  </si>
  <si>
    <t>キッチンペーパー</t>
    <phoneticPr fontId="2"/>
  </si>
  <si>
    <t>ウーロン茶、スポーツドリンク他</t>
    <rPh sb="4" eb="5">
      <t>チャ</t>
    </rPh>
    <rPh sb="14" eb="15">
      <t>ホカ</t>
    </rPh>
    <phoneticPr fontId="2"/>
  </si>
  <si>
    <t>除菌ジョイほか</t>
    <rPh sb="0" eb="2">
      <t>ジョキン</t>
    </rPh>
    <phoneticPr fontId="2"/>
  </si>
  <si>
    <t>刻みたまねぎ、こんにゃく他</t>
    <rPh sb="0" eb="1">
      <t>キザ</t>
    </rPh>
    <rPh sb="12" eb="13">
      <t>ホカ</t>
    </rPh>
    <phoneticPr fontId="2"/>
  </si>
  <si>
    <t>ハンドソープ、ごみ袋他</t>
    <rPh sb="9" eb="10">
      <t>フクロ</t>
    </rPh>
    <rPh sb="10" eb="11">
      <t>ホカ</t>
    </rPh>
    <phoneticPr fontId="2"/>
  </si>
  <si>
    <t>スポーツドリンク</t>
    <phoneticPr fontId="2"/>
  </si>
  <si>
    <t>ドン・キホーテ横須賀店</t>
    <rPh sb="7" eb="11">
      <t>ヨコスカテン</t>
    </rPh>
    <phoneticPr fontId="2"/>
  </si>
  <si>
    <t>お菓子</t>
    <rPh sb="1" eb="3">
      <t>カシ</t>
    </rPh>
    <phoneticPr fontId="2"/>
  </si>
  <si>
    <t>つくね８袋</t>
    <rPh sb="4" eb="5">
      <t>フクロ</t>
    </rPh>
    <phoneticPr fontId="2"/>
  </si>
  <si>
    <t>LIVIN横須賀店</t>
    <rPh sb="5" eb="9">
      <t>ヨコスカテン</t>
    </rPh>
    <phoneticPr fontId="2"/>
  </si>
  <si>
    <t>カーテンクリップ、つっぱり棒ほか</t>
    <rPh sb="13" eb="14">
      <t>ボウ</t>
    </rPh>
    <phoneticPr fontId="2"/>
  </si>
  <si>
    <t>ダイソーイオン金沢八景店</t>
    <rPh sb="7" eb="11">
      <t>カナザワハッケイ</t>
    </rPh>
    <rPh sb="11" eb="12">
      <t>テン</t>
    </rPh>
    <phoneticPr fontId="2"/>
  </si>
  <si>
    <t>ささがきゴボウ、刻み海苔ほか</t>
    <rPh sb="8" eb="9">
      <t>キザ</t>
    </rPh>
    <rPh sb="10" eb="12">
      <t>ノリ</t>
    </rPh>
    <phoneticPr fontId="2"/>
  </si>
  <si>
    <t>３COINSイオン金沢八景店</t>
    <rPh sb="9" eb="13">
      <t>カナザワハッケイ</t>
    </rPh>
    <rPh sb="13" eb="14">
      <t>テン</t>
    </rPh>
    <phoneticPr fontId="2"/>
  </si>
  <si>
    <t>キッチンマット</t>
    <phoneticPr fontId="2"/>
  </si>
  <si>
    <t>業務スーパー富岡店</t>
    <rPh sb="0" eb="2">
      <t>ギョウム</t>
    </rPh>
    <rPh sb="6" eb="8">
      <t>トミオカ</t>
    </rPh>
    <rPh sb="8" eb="9">
      <t>テン</t>
    </rPh>
    <phoneticPr fontId="2"/>
  </si>
  <si>
    <t>ポテトサラダ、厚焼玉子チルド</t>
    <rPh sb="7" eb="9">
      <t>アツヤ</t>
    </rPh>
    <rPh sb="9" eb="11">
      <t>タマゴ</t>
    </rPh>
    <phoneticPr fontId="2"/>
  </si>
  <si>
    <t>インスタントコーヒー</t>
    <phoneticPr fontId="2"/>
  </si>
  <si>
    <t>カビキラー、フリーザーバッグ</t>
    <phoneticPr fontId="2"/>
  </si>
  <si>
    <t>セリアLIVIN横須賀店</t>
    <rPh sb="8" eb="12">
      <t>ヨコスカテン</t>
    </rPh>
    <phoneticPr fontId="2"/>
  </si>
  <si>
    <t>洗面台ゴミガードほか</t>
    <rPh sb="0" eb="3">
      <t>センメンダイ</t>
    </rPh>
    <phoneticPr fontId="2"/>
  </si>
  <si>
    <t>ダイソーアピタ金沢文庫店</t>
    <rPh sb="7" eb="11">
      <t>カナザワブンコ</t>
    </rPh>
    <rPh sb="11" eb="12">
      <t>テン</t>
    </rPh>
    <phoneticPr fontId="2"/>
  </si>
  <si>
    <t>深月レンジ食器、アルミランチバッグ</t>
    <rPh sb="0" eb="1">
      <t>フカ</t>
    </rPh>
    <rPh sb="1" eb="2">
      <t>ツキ</t>
    </rPh>
    <rPh sb="5" eb="7">
      <t>ショッキ</t>
    </rPh>
    <phoneticPr fontId="2"/>
  </si>
  <si>
    <t>深月レンジ食器</t>
    <rPh sb="5" eb="7">
      <t>ショッキ</t>
    </rPh>
    <phoneticPr fontId="2"/>
  </si>
  <si>
    <t>永谷園お吸い物</t>
    <rPh sb="0" eb="3">
      <t>ナガタニエン</t>
    </rPh>
    <rPh sb="4" eb="5">
      <t>ス</t>
    </rPh>
    <rPh sb="6" eb="7">
      <t>モノ</t>
    </rPh>
    <phoneticPr fontId="2"/>
  </si>
  <si>
    <t>配布弁当</t>
    <rPh sb="0" eb="2">
      <t>ハイフ</t>
    </rPh>
    <rPh sb="2" eb="4">
      <t>ベントウ</t>
    </rPh>
    <phoneticPr fontId="2"/>
  </si>
  <si>
    <t>夕食おにぎり</t>
    <rPh sb="0" eb="2">
      <t>ユウショク</t>
    </rPh>
    <phoneticPr fontId="2"/>
  </si>
  <si>
    <t>キッチンマット、遮光カーテン</t>
    <rPh sb="8" eb="10">
      <t>シャコウ</t>
    </rPh>
    <phoneticPr fontId="2"/>
  </si>
  <si>
    <t>にら</t>
    <phoneticPr fontId="2"/>
  </si>
  <si>
    <t>ヨークフーズさいか屋横須賀</t>
    <rPh sb="9" eb="10">
      <t>ヤ</t>
    </rPh>
    <rPh sb="10" eb="13">
      <t>ヨコスカ</t>
    </rPh>
    <phoneticPr fontId="2"/>
  </si>
  <si>
    <t>豚肉</t>
    <rPh sb="0" eb="2">
      <t>ブタニク</t>
    </rPh>
    <phoneticPr fontId="2"/>
  </si>
  <si>
    <t>キッチンハイター、アイラップほか</t>
    <phoneticPr fontId="2"/>
  </si>
  <si>
    <t>こねぎ、とうふ、えだまめ他</t>
    <rPh sb="12" eb="13">
      <t>ホカ</t>
    </rPh>
    <phoneticPr fontId="2"/>
  </si>
  <si>
    <t>天丼、かつ丼</t>
    <rPh sb="0" eb="2">
      <t>テンドン</t>
    </rPh>
    <rPh sb="5" eb="6">
      <t>ドン</t>
    </rPh>
    <phoneticPr fontId="2"/>
  </si>
  <si>
    <t>オックス　田浦中央食品</t>
    <rPh sb="5" eb="7">
      <t>タウラ</t>
    </rPh>
    <rPh sb="7" eb="9">
      <t>チュウオウ</t>
    </rPh>
    <rPh sb="9" eb="11">
      <t>ショクヒン</t>
    </rPh>
    <phoneticPr fontId="2"/>
  </si>
  <si>
    <t>野菜</t>
    <rPh sb="0" eb="2">
      <t>ヤサイ</t>
    </rPh>
    <phoneticPr fontId="2"/>
  </si>
  <si>
    <t>安西商店</t>
    <rPh sb="0" eb="2">
      <t>アンザイ</t>
    </rPh>
    <rPh sb="2" eb="4">
      <t>ショウテン</t>
    </rPh>
    <phoneticPr fontId="2"/>
  </si>
  <si>
    <t>ポリ袋、紙コップ</t>
    <rPh sb="2" eb="3">
      <t>フクロ</t>
    </rPh>
    <rPh sb="4" eb="5">
      <t>カミ</t>
    </rPh>
    <phoneticPr fontId="2"/>
  </si>
  <si>
    <t>一番しぼりケースほか</t>
    <rPh sb="0" eb="2">
      <t>イチバン</t>
    </rPh>
    <phoneticPr fontId="2"/>
  </si>
  <si>
    <t>えだまめ</t>
    <phoneticPr fontId="2"/>
  </si>
  <si>
    <t>京急ストア船越店</t>
    <rPh sb="0" eb="2">
      <t>ケイキュウ</t>
    </rPh>
    <rPh sb="5" eb="8">
      <t>フナコシテン</t>
    </rPh>
    <phoneticPr fontId="2"/>
  </si>
  <si>
    <t>サンドラッグ平成町</t>
    <rPh sb="6" eb="9">
      <t>ヘイセイチョウ</t>
    </rPh>
    <phoneticPr fontId="2"/>
  </si>
  <si>
    <t>薬クリエイト横須賀中央</t>
    <rPh sb="0" eb="1">
      <t>クスリ</t>
    </rPh>
    <rPh sb="6" eb="11">
      <t>ヨコスカチュウオウ</t>
    </rPh>
    <phoneticPr fontId="2"/>
  </si>
  <si>
    <t>ポリ袋70L 10枚</t>
    <rPh sb="2" eb="3">
      <t>ブクロ</t>
    </rPh>
    <rPh sb="9" eb="10">
      <t>マイ</t>
    </rPh>
    <phoneticPr fontId="2"/>
  </si>
  <si>
    <t>有限会社　光伸</t>
    <rPh sb="0" eb="4">
      <t>ユウゲンガイシャ</t>
    </rPh>
    <rPh sb="5" eb="6">
      <t>ヒカリ</t>
    </rPh>
    <rPh sb="6" eb="7">
      <t>ノ</t>
    </rPh>
    <phoneticPr fontId="2"/>
  </si>
  <si>
    <t>襷 5本　クリーニング</t>
    <rPh sb="0" eb="1">
      <t>タスキ</t>
    </rPh>
    <rPh sb="3" eb="4">
      <t>ホン</t>
    </rPh>
    <phoneticPr fontId="2"/>
  </si>
  <si>
    <t>同行者</t>
    <rPh sb="0" eb="3">
      <t>ドウコウシャ</t>
    </rPh>
    <phoneticPr fontId="2"/>
  </si>
  <si>
    <t>請求者</t>
    <rPh sb="0" eb="3">
      <t>セイキュウシャ</t>
    </rPh>
    <phoneticPr fontId="2"/>
  </si>
  <si>
    <t>コメント</t>
    <phoneticPr fontId="2"/>
  </si>
  <si>
    <t>自宅－南部市場</t>
    <rPh sb="0" eb="2">
      <t>ジタク</t>
    </rPh>
    <rPh sb="3" eb="5">
      <t>ナンブ</t>
    </rPh>
    <rPh sb="5" eb="7">
      <t>イチバ</t>
    </rPh>
    <phoneticPr fontId="2"/>
  </si>
  <si>
    <t>伊藤</t>
    <rPh sb="0" eb="2">
      <t>イトウ</t>
    </rPh>
    <phoneticPr fontId="2"/>
  </si>
  <si>
    <t>自宅－エイビーほか</t>
    <rPh sb="0" eb="2">
      <t>ジタク</t>
    </rPh>
    <phoneticPr fontId="2"/>
  </si>
  <si>
    <t>購入なし</t>
    <rPh sb="0" eb="2">
      <t>コウニュウ</t>
    </rPh>
    <phoneticPr fontId="2"/>
  </si>
  <si>
    <t>自宅－ダイソーほか</t>
    <rPh sb="0" eb="2">
      <t>ジタク</t>
    </rPh>
    <phoneticPr fontId="2"/>
  </si>
  <si>
    <t>自宅－OKストアほか</t>
    <rPh sb="0" eb="2">
      <t>ジタク</t>
    </rPh>
    <phoneticPr fontId="2"/>
  </si>
  <si>
    <t>自宅－イオンほか</t>
    <rPh sb="0" eb="2">
      <t>ジタク</t>
    </rPh>
    <phoneticPr fontId="2"/>
  </si>
  <si>
    <t>自宅－クリエイトほか</t>
    <rPh sb="0" eb="2">
      <t>ジタク</t>
    </rPh>
    <phoneticPr fontId="2"/>
  </si>
  <si>
    <t>冨山</t>
    <rPh sb="0" eb="2">
      <t>トミヤマ</t>
    </rPh>
    <phoneticPr fontId="2"/>
  </si>
  <si>
    <t>伊藤・吉田・高橋</t>
    <rPh sb="0" eb="2">
      <t>イトウ</t>
    </rPh>
    <rPh sb="3" eb="5">
      <t>ヨシダ</t>
    </rPh>
    <rPh sb="6" eb="8">
      <t>タカハシ</t>
    </rPh>
    <phoneticPr fontId="2"/>
  </si>
  <si>
    <t>購入はセリア110円の１点のみ</t>
    <rPh sb="0" eb="2">
      <t>コウニュウ</t>
    </rPh>
    <rPh sb="9" eb="10">
      <t>エン</t>
    </rPh>
    <rPh sb="12" eb="13">
      <t>テン</t>
    </rPh>
    <phoneticPr fontId="2"/>
  </si>
  <si>
    <t>自宅－ホームズほか</t>
    <rPh sb="0" eb="2">
      <t>ジタク</t>
    </rPh>
    <phoneticPr fontId="2"/>
  </si>
  <si>
    <t>角氷 8貫</t>
    <rPh sb="0" eb="1">
      <t>カク</t>
    </rPh>
    <rPh sb="1" eb="2">
      <t>コオリ</t>
    </rPh>
    <rPh sb="4" eb="5">
      <t>カン</t>
    </rPh>
    <phoneticPr fontId="2"/>
  </si>
  <si>
    <t>申請区間</t>
    <rPh sb="0" eb="2">
      <t>シンセイ</t>
    </rPh>
    <rPh sb="2" eb="4">
      <t>クカン</t>
    </rPh>
    <phoneticPr fontId="2"/>
  </si>
  <si>
    <t>自宅－エイビー</t>
    <rPh sb="0" eb="2">
      <t>ジタク</t>
    </rPh>
    <phoneticPr fontId="2"/>
  </si>
  <si>
    <t>吉田</t>
    <rPh sb="0" eb="2">
      <t>ヨシダ</t>
    </rPh>
    <phoneticPr fontId="2"/>
  </si>
  <si>
    <t>自宅－南部市場ほか</t>
    <rPh sb="0" eb="2">
      <t>ジタク</t>
    </rPh>
    <rPh sb="3" eb="5">
      <t>ナンブ</t>
    </rPh>
    <rPh sb="5" eb="7">
      <t>イチバ</t>
    </rPh>
    <phoneticPr fontId="2"/>
  </si>
  <si>
    <t>(\)</t>
    <phoneticPr fontId="2"/>
  </si>
  <si>
    <t>支払合計</t>
    <rPh sb="0" eb="2">
      <t>シハラ</t>
    </rPh>
    <rPh sb="2" eb="4">
      <t>ゴウケイ</t>
    </rPh>
    <phoneticPr fontId="2"/>
  </si>
  <si>
    <t>おつり</t>
    <phoneticPr fontId="2"/>
  </si>
  <si>
    <t>No.6と、行先・同行者は同じで車両が別？</t>
    <rPh sb="6" eb="8">
      <t>ユキサキ</t>
    </rPh>
    <rPh sb="9" eb="12">
      <t>ドウコウシャ</t>
    </rPh>
    <rPh sb="13" eb="14">
      <t>オナ</t>
    </rPh>
    <rPh sb="16" eb="18">
      <t>シャリョウ</t>
    </rPh>
    <rPh sb="19" eb="20">
      <t>ベツ</t>
    </rPh>
    <phoneticPr fontId="2"/>
  </si>
  <si>
    <t>用途</t>
    <rPh sb="0" eb="2">
      <t>ヨウト</t>
    </rPh>
    <phoneticPr fontId="2"/>
  </si>
  <si>
    <t>マスキングマスカー</t>
    <phoneticPr fontId="2"/>
  </si>
  <si>
    <t>害虫駆除ブラックキャップ</t>
    <rPh sb="0" eb="2">
      <t>ガイチュウ</t>
    </rPh>
    <rPh sb="2" eb="4">
      <t>クジョ</t>
    </rPh>
    <phoneticPr fontId="2"/>
  </si>
  <si>
    <t>会館用備品？</t>
    <rPh sb="0" eb="2">
      <t>カイカン</t>
    </rPh>
    <rPh sb="2" eb="3">
      <t>ヨウ</t>
    </rPh>
    <rPh sb="3" eb="5">
      <t>ビヒン</t>
    </rPh>
    <phoneticPr fontId="2"/>
  </si>
  <si>
    <t>？</t>
    <phoneticPr fontId="2"/>
  </si>
  <si>
    <t>伊藤（吉田・高橋）</t>
    <rPh sb="0" eb="2">
      <t>イトウ</t>
    </rPh>
    <rPh sb="3" eb="5">
      <t>ヨシダ</t>
    </rPh>
    <rPh sb="6" eb="8">
      <t>タカハシ</t>
    </rPh>
    <phoneticPr fontId="2"/>
  </si>
  <si>
    <t>（伊藤）吉田・高橋</t>
    <rPh sb="1" eb="3">
      <t>イトウ</t>
    </rPh>
    <rPh sb="4" eb="6">
      <t>ヨシダ</t>
    </rPh>
    <rPh sb="7" eb="9">
      <t>タカハシ</t>
    </rPh>
    <phoneticPr fontId="2"/>
  </si>
  <si>
    <t>下見を兼ねる</t>
    <rPh sb="0" eb="2">
      <t>シタミ</t>
    </rPh>
    <rPh sb="3" eb="4">
      <t>カ</t>
    </rPh>
    <phoneticPr fontId="2"/>
  </si>
  <si>
    <t>下見のため</t>
  </si>
  <si>
    <t>同乗者：伊藤</t>
    <rPh sb="0" eb="3">
      <t>ドウジョウシャ</t>
    </rPh>
    <rPh sb="4" eb="6">
      <t>イトウ</t>
    </rPh>
    <phoneticPr fontId="2"/>
  </si>
  <si>
    <t>同乗者：吉田、高橋</t>
    <rPh sb="0" eb="3">
      <t>ドウジョウシャ</t>
    </rPh>
    <rPh sb="4" eb="6">
      <t>ヨシダ</t>
    </rPh>
    <rPh sb="7" eb="9">
      <t>タカハシ</t>
    </rPh>
    <phoneticPr fontId="2"/>
  </si>
  <si>
    <t>交通費(\)</t>
    <rPh sb="0" eb="3">
      <t>コウツウヒ</t>
    </rPh>
    <phoneticPr fontId="2"/>
  </si>
  <si>
    <t>↓飲食</t>
    <rPh sb="1" eb="3">
      <t>インショク</t>
    </rPh>
    <phoneticPr fontId="2"/>
  </si>
  <si>
    <t>↓雑費</t>
    <rPh sb="1" eb="3">
      <t>ザッピ</t>
    </rPh>
    <phoneticPr fontId="2"/>
  </si>
  <si>
    <t>飲食費（高橋し理事）</t>
    <rPh sb="0" eb="3">
      <t>インショクヒ</t>
    </rPh>
    <rPh sb="4" eb="6">
      <t>タカハシ</t>
    </rPh>
    <rPh sb="7" eb="9">
      <t>リジ</t>
    </rPh>
    <phoneticPr fontId="2"/>
  </si>
  <si>
    <t>雑費（高橋し理事）</t>
    <rPh sb="0" eb="2">
      <t>ザッピ</t>
    </rPh>
    <rPh sb="3" eb="5">
      <t>タカハシ</t>
    </rPh>
    <rPh sb="6" eb="8">
      <t>リジ</t>
    </rPh>
    <phoneticPr fontId="2"/>
  </si>
  <si>
    <t>高橋し理事の清算</t>
    <rPh sb="6" eb="8">
      <t>セイサン</t>
    </rPh>
    <phoneticPr fontId="2"/>
  </si>
  <si>
    <t>少年部活動費</t>
    <rPh sb="0" eb="3">
      <t>ショウネンブ</t>
    </rPh>
    <rPh sb="3" eb="6">
      <t>カツドウヒ</t>
    </rPh>
    <phoneticPr fontId="2"/>
  </si>
  <si>
    <t>1区9班、2-5佐々木除く</t>
    <rPh sb="1" eb="2">
      <t>ク</t>
    </rPh>
    <rPh sb="3" eb="4">
      <t>ハン</t>
    </rPh>
    <rPh sb="8" eb="11">
      <t>ササキ</t>
    </rPh>
    <rPh sb="11" eb="12">
      <t>ノゾ</t>
    </rPh>
    <phoneticPr fontId="2"/>
  </si>
  <si>
    <t>齋藤副会長の清算</t>
    <rPh sb="0" eb="2">
      <t>サイトウ</t>
    </rPh>
    <rPh sb="2" eb="3">
      <t>フク</t>
    </rPh>
    <rPh sb="3" eb="5">
      <t>カイチョウ</t>
    </rPh>
    <rPh sb="6" eb="8">
      <t>セイサン</t>
    </rPh>
    <phoneticPr fontId="2"/>
  </si>
  <si>
    <t>一般会計より40万円返金</t>
    <rPh sb="0" eb="4">
      <t>イッパンカイケイ</t>
    </rPh>
    <rPh sb="8" eb="10">
      <t>マンエン</t>
    </rPh>
    <rPh sb="10" eb="12">
      <t>ヘンキン</t>
    </rPh>
    <phoneticPr fontId="2"/>
  </si>
  <si>
    <t>一般会計→高島　残合計40万円</t>
    <rPh sb="0" eb="2">
      <t>イッパン</t>
    </rPh>
    <rPh sb="2" eb="4">
      <t>カイケイ</t>
    </rPh>
    <rPh sb="5" eb="7">
      <t>タカシマ</t>
    </rPh>
    <phoneticPr fontId="2"/>
  </si>
  <si>
    <t>山車駐車場（年払い）20万円</t>
    <rPh sb="0" eb="2">
      <t>ダシ</t>
    </rPh>
    <rPh sb="2" eb="5">
      <t>チュウシャジョウ</t>
    </rPh>
    <rPh sb="6" eb="7">
      <t>トシ</t>
    </rPh>
    <rPh sb="7" eb="8">
      <t>バラ</t>
    </rPh>
    <rPh sb="12" eb="14">
      <t>マンエン</t>
    </rPh>
    <phoneticPr fontId="2"/>
  </si>
  <si>
    <t>中根さん倉庫代金8万円</t>
    <rPh sb="0" eb="2">
      <t>ナカネ</t>
    </rPh>
    <rPh sb="4" eb="6">
      <t>ソウコ</t>
    </rPh>
    <rPh sb="6" eb="8">
      <t>ダイキン</t>
    </rPh>
    <rPh sb="9" eb="11">
      <t>マンエン</t>
    </rPh>
    <phoneticPr fontId="2"/>
  </si>
  <si>
    <t>松村精算8/18、武藤精算8/4</t>
    <rPh sb="2" eb="4">
      <t>セイサン</t>
    </rPh>
    <rPh sb="11" eb="13">
      <t>セイサン</t>
    </rPh>
    <phoneticPr fontId="2"/>
  </si>
  <si>
    <t>9/1返金予定</t>
    <rPh sb="3" eb="5">
      <t>ヘンキン</t>
    </rPh>
    <rPh sb="5" eb="7">
      <t>ヨテイ</t>
    </rPh>
    <phoneticPr fontId="2"/>
  </si>
  <si>
    <t>松村1.1、熊本1.6、武藤1.1、森田1.1</t>
    <rPh sb="0" eb="2">
      <t>マツムラ</t>
    </rPh>
    <rPh sb="6" eb="8">
      <t>クマモト</t>
    </rPh>
    <rPh sb="12" eb="14">
      <t>ムトウ</t>
    </rPh>
    <rPh sb="18" eb="20">
      <t>モリタ</t>
    </rPh>
    <phoneticPr fontId="2"/>
  </si>
  <si>
    <t>入</t>
    <rPh sb="0" eb="1">
      <t>イ</t>
    </rPh>
    <phoneticPr fontId="2"/>
  </si>
  <si>
    <t>一般会計から一時借用</t>
    <rPh sb="0" eb="2">
      <t>イッパン</t>
    </rPh>
    <rPh sb="2" eb="4">
      <t>カイケイ</t>
    </rPh>
    <rPh sb="6" eb="10">
      <t>イチジシャクヨウ</t>
    </rPh>
    <phoneticPr fontId="2"/>
  </si>
  <si>
    <t>祭礼現金</t>
    <rPh sb="0" eb="2">
      <t>サイレイ</t>
    </rPh>
    <rPh sb="2" eb="4">
      <t xml:space="preserve">ゲンキン </t>
    </rPh>
    <phoneticPr fontId="2"/>
  </si>
  <si>
    <t>タスキクリーニングほか</t>
    <phoneticPr fontId="2"/>
  </si>
  <si>
    <t>詳細は別紙</t>
    <phoneticPr fontId="2"/>
  </si>
  <si>
    <t>交通費</t>
    <rPh sb="0" eb="3">
      <t>コウツウヒ</t>
    </rPh>
    <phoneticPr fontId="2"/>
  </si>
  <si>
    <t>いずみ工房</t>
    <rPh sb="3" eb="5">
      <t>コウボウ</t>
    </rPh>
    <phoneticPr fontId="2"/>
  </si>
  <si>
    <t>松村</t>
  </si>
  <si>
    <t>車両通行止め看板</t>
    <rPh sb="0" eb="2">
      <t>シャリョウ</t>
    </rPh>
    <rPh sb="2" eb="5">
      <t>ツウコウド</t>
    </rPh>
    <rPh sb="6" eb="8">
      <t>カンバン</t>
    </rPh>
    <phoneticPr fontId="2"/>
  </si>
  <si>
    <t>入金コード</t>
    <rPh sb="0" eb="2">
      <t xml:space="preserve">ニュウキン </t>
    </rPh>
    <phoneticPr fontId="2"/>
  </si>
  <si>
    <t>出金コード</t>
    <rPh sb="0" eb="2">
      <t xml:space="preserve">シュッキン </t>
    </rPh>
    <phoneticPr fontId="2"/>
  </si>
  <si>
    <t>雑費</t>
    <phoneticPr fontId="2"/>
  </si>
  <si>
    <t>前年度繰越金</t>
    <rPh sb="0" eb="2">
      <t>ゼンネン</t>
    </rPh>
    <rPh sb="2" eb="3">
      <t>ド</t>
    </rPh>
    <rPh sb="3" eb="6">
      <t>クリコシキン</t>
    </rPh>
    <phoneticPr fontId="2"/>
  </si>
  <si>
    <t>１．前年度繰越金</t>
    <rPh sb="2" eb="5">
      <t>ゼンネンド</t>
    </rPh>
    <rPh sb="5" eb="7">
      <t>クリコシ</t>
    </rPh>
    <rPh sb="7" eb="8">
      <t>キン</t>
    </rPh>
    <phoneticPr fontId="2"/>
  </si>
  <si>
    <t>２．会員寄付金</t>
    <rPh sb="2" eb="4">
      <t>カイイン</t>
    </rPh>
    <rPh sb="4" eb="7">
      <t>キフキン</t>
    </rPh>
    <phoneticPr fontId="2"/>
  </si>
  <si>
    <t>会員寄付金</t>
    <phoneticPr fontId="2"/>
  </si>
  <si>
    <t>３．奉納金</t>
    <rPh sb="2" eb="5">
      <t>ホウノウキン</t>
    </rPh>
    <phoneticPr fontId="2"/>
  </si>
  <si>
    <t>評議員が回収</t>
    <rPh sb="0" eb="3">
      <t>ヒョウギイン</t>
    </rPh>
    <rPh sb="4" eb="6">
      <t>カイシュウ</t>
    </rPh>
    <phoneticPr fontId="2"/>
  </si>
  <si>
    <t>４．門付</t>
    <rPh sb="2" eb="3">
      <t>カド</t>
    </rPh>
    <rPh sb="3" eb="4">
      <t>ツケ</t>
    </rPh>
    <phoneticPr fontId="2"/>
  </si>
  <si>
    <t>奉納金</t>
  </si>
  <si>
    <t>５．雑収入</t>
    <rPh sb="2" eb="5">
      <t>ザツシュウニュウ</t>
    </rPh>
    <phoneticPr fontId="2"/>
  </si>
  <si>
    <t>６．連合渡御分担金・反省会費</t>
    <rPh sb="10" eb="14">
      <t>ハンセイカイヒ</t>
    </rPh>
    <phoneticPr fontId="2"/>
  </si>
  <si>
    <t>1．飲物・食物費</t>
    <rPh sb="2" eb="3">
      <t>ノ</t>
    </rPh>
    <rPh sb="3" eb="4">
      <t>モノ</t>
    </rPh>
    <rPh sb="5" eb="6">
      <t>タ</t>
    </rPh>
    <rPh sb="6" eb="7">
      <t>モノ</t>
    </rPh>
    <rPh sb="7" eb="8">
      <t>ヒ</t>
    </rPh>
    <phoneticPr fontId="2"/>
  </si>
  <si>
    <t>2．御供物費</t>
    <rPh sb="2" eb="5">
      <t>オクモツ</t>
    </rPh>
    <rPh sb="5" eb="6">
      <t>ヒ</t>
    </rPh>
    <phoneticPr fontId="2"/>
  </si>
  <si>
    <t>3．神社等分担費</t>
    <rPh sb="2" eb="4">
      <t>ジンジャ</t>
    </rPh>
    <rPh sb="4" eb="5">
      <t>トウ</t>
    </rPh>
    <rPh sb="5" eb="8">
      <t>ブンタンヒ</t>
    </rPh>
    <phoneticPr fontId="2"/>
  </si>
  <si>
    <t>４．入浴費</t>
    <rPh sb="2" eb="4">
      <t>ニュウヨク</t>
    </rPh>
    <rPh sb="4" eb="5">
      <t>ヒ</t>
    </rPh>
    <phoneticPr fontId="2"/>
  </si>
  <si>
    <t>５．渉外費</t>
    <rPh sb="2" eb="4">
      <t>ショウガイ</t>
    </rPh>
    <rPh sb="4" eb="5">
      <t>ヒ</t>
    </rPh>
    <phoneticPr fontId="2"/>
  </si>
  <si>
    <t>６．消耗品費</t>
    <rPh sb="2" eb="5">
      <t>ショウモウヒン</t>
    </rPh>
    <rPh sb="5" eb="6">
      <t>ヒ</t>
    </rPh>
    <phoneticPr fontId="2"/>
  </si>
  <si>
    <t>７．神輿準備・片付け費</t>
    <rPh sb="2" eb="4">
      <t>ミコシ</t>
    </rPh>
    <rPh sb="4" eb="6">
      <t>ジュンビ</t>
    </rPh>
    <rPh sb="7" eb="9">
      <t>カタヅ</t>
    </rPh>
    <rPh sb="10" eb="11">
      <t>ヒ</t>
    </rPh>
    <phoneticPr fontId="2"/>
  </si>
  <si>
    <t>８．お囃子保存会支援費</t>
    <rPh sb="3" eb="5">
      <t>ハヤシ</t>
    </rPh>
    <rPh sb="5" eb="7">
      <t>ホゾン</t>
    </rPh>
    <rPh sb="7" eb="8">
      <t>カイ</t>
    </rPh>
    <rPh sb="8" eb="10">
      <t>シエン</t>
    </rPh>
    <rPh sb="10" eb="11">
      <t>ヒ</t>
    </rPh>
    <phoneticPr fontId="2"/>
  </si>
  <si>
    <t>９．祭礼用具等支出</t>
    <rPh sb="2" eb="4">
      <t>サイレイ</t>
    </rPh>
    <rPh sb="4" eb="6">
      <t>ヨウグ</t>
    </rPh>
    <rPh sb="6" eb="7">
      <t>トウ</t>
    </rPh>
    <rPh sb="7" eb="9">
      <t>シシュツ</t>
    </rPh>
    <phoneticPr fontId="2"/>
  </si>
  <si>
    <t>１０．寄附金等への返礼費</t>
    <rPh sb="3" eb="6">
      <t>キフキン</t>
    </rPh>
    <rPh sb="6" eb="7">
      <t>トウ</t>
    </rPh>
    <rPh sb="9" eb="11">
      <t>ヘンレイ</t>
    </rPh>
    <rPh sb="11" eb="12">
      <t>ヒ</t>
    </rPh>
    <phoneticPr fontId="2"/>
  </si>
  <si>
    <t>１１．雑費</t>
    <rPh sb="3" eb="5">
      <t>ザッピ</t>
    </rPh>
    <phoneticPr fontId="2"/>
  </si>
  <si>
    <t>１２．門付からの分配支出</t>
    <rPh sb="3" eb="4">
      <t>カド</t>
    </rPh>
    <rPh sb="4" eb="5">
      <t>ツケ</t>
    </rPh>
    <rPh sb="8" eb="10">
      <t>ブンパイ</t>
    </rPh>
    <rPh sb="10" eb="12">
      <t>シシュツ</t>
    </rPh>
    <phoneticPr fontId="2"/>
  </si>
  <si>
    <t>１３．少年部諸経費</t>
    <rPh sb="3" eb="5">
      <t>ショウネン</t>
    </rPh>
    <rPh sb="5" eb="6">
      <t>ブ</t>
    </rPh>
    <rPh sb="6" eb="7">
      <t>ショ</t>
    </rPh>
    <rPh sb="7" eb="9">
      <t>ケイヒ</t>
    </rPh>
    <phoneticPr fontId="2"/>
  </si>
  <si>
    <t>１４．連合渡御諸経費</t>
    <rPh sb="3" eb="5">
      <t>レンゴウ</t>
    </rPh>
    <rPh sb="5" eb="7">
      <t>トギョウ</t>
    </rPh>
    <rPh sb="7" eb="10">
      <t>ショケイヒ</t>
    </rPh>
    <phoneticPr fontId="2"/>
  </si>
  <si>
    <t>飲物・食物費</t>
  </si>
  <si>
    <t>御供物費</t>
    <phoneticPr fontId="2"/>
  </si>
  <si>
    <t>神社等分担費</t>
    <phoneticPr fontId="2"/>
  </si>
  <si>
    <t>渉外費</t>
    <phoneticPr fontId="2"/>
  </si>
  <si>
    <t>消耗品費</t>
    <phoneticPr fontId="2"/>
  </si>
  <si>
    <t>神輿準備・片付け費</t>
    <phoneticPr fontId="2"/>
  </si>
  <si>
    <t>お囃子保存会支援費</t>
    <phoneticPr fontId="2"/>
  </si>
  <si>
    <t>祭礼用具等支出</t>
    <phoneticPr fontId="2"/>
  </si>
  <si>
    <t>寄附金等への返礼費</t>
    <phoneticPr fontId="2"/>
  </si>
  <si>
    <t>門付からの分配支出</t>
    <phoneticPr fontId="2"/>
  </si>
  <si>
    <t>少年部諸経費</t>
    <phoneticPr fontId="2"/>
  </si>
  <si>
    <t>連合渡御諸経費</t>
    <phoneticPr fontId="2"/>
  </si>
  <si>
    <t>連合渡御当番（南郷親和会）</t>
    <rPh sb="0" eb="2">
      <t>レンゴウ</t>
    </rPh>
    <rPh sb="2" eb="4">
      <t>トギョウ</t>
    </rPh>
    <rPh sb="4" eb="6">
      <t>トウバン</t>
    </rPh>
    <rPh sb="7" eb="9">
      <t>ナンゴウ</t>
    </rPh>
    <rPh sb="9" eb="12">
      <t>シンワカイ</t>
    </rPh>
    <phoneticPr fontId="2"/>
  </si>
  <si>
    <t>駒寄：1,100円</t>
    <rPh sb="0" eb="2">
      <t>コマヨセ</t>
    </rPh>
    <rPh sb="8" eb="9">
      <t>エン</t>
    </rPh>
    <phoneticPr fontId="2"/>
  </si>
  <si>
    <t>青年部が参加</t>
    <rPh sb="0" eb="3">
      <t>セイネンブ</t>
    </rPh>
    <rPh sb="4" eb="6">
      <t>サンカ</t>
    </rPh>
    <phoneticPr fontId="2"/>
  </si>
  <si>
    <t>秋季大祭分担金</t>
    <rPh sb="0" eb="2">
      <t>シュウキ</t>
    </rPh>
    <rPh sb="2" eb="4">
      <t>タイサイ</t>
    </rPh>
    <rPh sb="4" eb="7">
      <t>ブンタンキン</t>
    </rPh>
    <phoneticPr fontId="2"/>
  </si>
  <si>
    <t>半纏クリーニング代</t>
    <rPh sb="0" eb="2">
      <t>ハンテン</t>
    </rPh>
    <rPh sb="8" eb="9">
      <t>ダイ</t>
    </rPh>
    <phoneticPr fontId="2"/>
  </si>
  <si>
    <t>松村会長</t>
    <rPh sb="0" eb="2">
      <t>マツムラ</t>
    </rPh>
    <rPh sb="2" eb="4">
      <t>カイチョウ</t>
    </rPh>
    <phoneticPr fontId="2"/>
  </si>
  <si>
    <t>夏季祭礼分担金</t>
    <rPh sb="0" eb="2">
      <t>カキ</t>
    </rPh>
    <rPh sb="2" eb="4">
      <t>サイレイ</t>
    </rPh>
    <rPh sb="4" eb="7">
      <t>ブンタンキン</t>
    </rPh>
    <phoneticPr fontId="2"/>
  </si>
  <si>
    <t>計：35万円の仮払い</t>
    <rPh sb="0" eb="1">
      <t>ケイ</t>
    </rPh>
    <rPh sb="4" eb="6">
      <t>マンエン</t>
    </rPh>
    <rPh sb="7" eb="9">
      <t>カリバラ</t>
    </rPh>
    <phoneticPr fontId="2"/>
  </si>
  <si>
    <t>8/8〆：</t>
    <phoneticPr fontId="2"/>
  </si>
  <si>
    <t>（祭礼準備）昼食弁当代</t>
    <rPh sb="1" eb="3">
      <t>サイレイ</t>
    </rPh>
    <rPh sb="3" eb="5">
      <t>ジュンビ</t>
    </rPh>
    <rPh sb="6" eb="8">
      <t>チュウショク</t>
    </rPh>
    <rPh sb="8" eb="10">
      <t>ベントウ</t>
    </rPh>
    <rPh sb="10" eb="11">
      <t>ダイ</t>
    </rPh>
    <phoneticPr fontId="2"/>
  </si>
  <si>
    <t>買い出し交通費</t>
    <rPh sb="0" eb="1">
      <t>カ</t>
    </rPh>
    <rPh sb="2" eb="3">
      <t>ダ</t>
    </rPh>
    <rPh sb="4" eb="7">
      <t>コウツウヒ</t>
    </rPh>
    <phoneticPr fontId="2"/>
  </si>
  <si>
    <t>ばばーず交通費の立替</t>
    <rPh sb="4" eb="7">
      <t>コウツウヒ</t>
    </rPh>
    <rPh sb="8" eb="10">
      <t>タテカエ</t>
    </rPh>
    <phoneticPr fontId="2"/>
  </si>
  <si>
    <t>浦賀北町内会</t>
    <rPh sb="0" eb="2">
      <t>ウラガ</t>
    </rPh>
    <rPh sb="2" eb="3">
      <t>キタ</t>
    </rPh>
    <rPh sb="3" eb="6">
      <t>チョウナイカイ</t>
    </rPh>
    <phoneticPr fontId="2"/>
  </si>
  <si>
    <t>高島➡高橋（し）理事へ</t>
    <rPh sb="0" eb="2">
      <t>タカシマ</t>
    </rPh>
    <rPh sb="3" eb="5">
      <t>タカハシ</t>
    </rPh>
    <rPh sb="8" eb="10">
      <t>リジ</t>
    </rPh>
    <phoneticPr fontId="2"/>
  </si>
  <si>
    <t>高島➡高橋（し）理事へ</t>
    <rPh sb="3" eb="5">
      <t>タカハシ</t>
    </rPh>
    <rPh sb="8" eb="10">
      <t>リジ</t>
    </rPh>
    <phoneticPr fontId="2"/>
  </si>
  <si>
    <t>一般会計</t>
    <rPh sb="0" eb="2">
      <t>イッパン</t>
    </rPh>
    <rPh sb="2" eb="4">
      <t>カイケイ</t>
    </rPh>
    <phoneticPr fontId="2"/>
  </si>
  <si>
    <t>一般会計へ80万円貸付</t>
    <rPh sb="0" eb="4">
      <t>イッパンカイケイ</t>
    </rPh>
    <rPh sb="7" eb="8">
      <t>マン</t>
    </rPh>
    <rPh sb="8" eb="9">
      <t>エン</t>
    </rPh>
    <rPh sb="9" eb="11">
      <t>カシツケ</t>
    </rPh>
    <phoneticPr fontId="2"/>
  </si>
  <si>
    <t>貸付残金80万円</t>
    <rPh sb="2" eb="4">
      <t>ザンキン</t>
    </rPh>
    <rPh sb="6" eb="7">
      <t>マン</t>
    </rPh>
    <rPh sb="7" eb="8">
      <t>エン</t>
    </rPh>
    <phoneticPr fontId="2"/>
  </si>
  <si>
    <t>貸付残金40万円</t>
    <phoneticPr fontId="2"/>
  </si>
  <si>
    <t>貸付残金60万円</t>
    <rPh sb="0" eb="2">
      <t>カシツケ</t>
    </rPh>
    <rPh sb="2" eb="4">
      <t>ザンキン</t>
    </rPh>
    <rPh sb="6" eb="7">
      <t>マン</t>
    </rPh>
    <rPh sb="7" eb="8">
      <t>エン</t>
    </rPh>
    <phoneticPr fontId="2"/>
  </si>
  <si>
    <t>貸付残金80万円</t>
    <rPh sb="0" eb="2">
      <t>カシツケ</t>
    </rPh>
    <rPh sb="2" eb="4">
      <t>ザンキン</t>
    </rPh>
    <rPh sb="6" eb="7">
      <t>マン</t>
    </rPh>
    <rPh sb="7" eb="8">
      <t>エン</t>
    </rPh>
    <phoneticPr fontId="2"/>
  </si>
  <si>
    <t>貸付残金88万円</t>
    <rPh sb="0" eb="2">
      <t>カシツケ</t>
    </rPh>
    <rPh sb="2" eb="4">
      <t>ザンキン</t>
    </rPh>
    <rPh sb="6" eb="7">
      <t>マン</t>
    </rPh>
    <rPh sb="7" eb="8">
      <t>エン</t>
    </rPh>
    <phoneticPr fontId="2"/>
  </si>
  <si>
    <t>一般会計20万円</t>
    <rPh sb="6" eb="8">
      <t>マンエン</t>
    </rPh>
    <phoneticPr fontId="2"/>
  </si>
  <si>
    <t>出</t>
    <rPh sb="0" eb="1">
      <t>デ</t>
    </rPh>
    <phoneticPr fontId="2"/>
  </si>
  <si>
    <t>2025年2月23日現在の残高</t>
    <rPh sb="4" eb="5">
      <t>ネン</t>
    </rPh>
    <rPh sb="6" eb="7">
      <t>ツキ</t>
    </rPh>
    <rPh sb="9" eb="10">
      <t>ニチ</t>
    </rPh>
    <rPh sb="10" eb="12">
      <t>ゲンザイ</t>
    </rPh>
    <rPh sb="13" eb="15">
      <t>ザンダカ</t>
    </rPh>
    <phoneticPr fontId="2"/>
  </si>
  <si>
    <t>会員（１区９班）＋2-5佐々木</t>
    <rPh sb="0" eb="2">
      <t>カイイン</t>
    </rPh>
    <rPh sb="12" eb="15">
      <t>ササキ</t>
    </rPh>
    <phoneticPr fontId="2"/>
  </si>
</sst>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6">
    <numFmt numFmtId="5" formatCode="&quot;¥&quot;#,##0;&quot;¥&quot;\-#,##0"/>
    <numFmt numFmtId="176" formatCode="#,##0_ "/>
    <numFmt numFmtId="177" formatCode="#,##0_);[Red]\(#,##0\)"/>
    <numFmt numFmtId="178" formatCode="#,##0;&quot;△ &quot;#,##0"/>
    <numFmt numFmtId="179" formatCode="#,##0_ ;[Red]\-#,##0\ "/>
    <numFmt numFmtId="180" formatCode="#,##0;&quot;▲ &quot;#,##0"/>
  </numFmts>
  <fonts count="55" x14ac:knownFonts="1">
    <font>
      <sz val="11"/>
      <color theme="1"/>
      <name val="ＭＳ Ｐゴシック"/>
      <family val="2"/>
      <charset val="128"/>
      <scheme val="minor"/>
    </font>
    <font>
      <sz val="11"/>
      <color theme="1"/>
      <name val="ＭＳ Ｐゴシック"/>
      <family val="2"/>
      <charset val="128"/>
      <scheme val="minor"/>
    </font>
    <font>
      <sz val="6"/>
      <name val="ＭＳ Ｐゴシック"/>
      <family val="2"/>
      <charset val="128"/>
      <scheme val="minor"/>
    </font>
    <font>
      <sz val="10"/>
      <color theme="1"/>
      <name val="ＭＳ Ｐゴシック"/>
      <family val="2"/>
      <charset val="128"/>
      <scheme val="minor"/>
    </font>
    <font>
      <sz val="10"/>
      <color theme="1"/>
      <name val="ＭＳ Ｐゴシック"/>
      <family val="3"/>
      <charset val="128"/>
      <scheme val="minor"/>
    </font>
    <font>
      <sz val="12"/>
      <color theme="1"/>
      <name val="ＭＳ Ｐゴシック"/>
      <family val="3"/>
      <charset val="128"/>
      <scheme val="minor"/>
    </font>
    <font>
      <sz val="11"/>
      <color theme="1"/>
      <name val="ＭＳ Ｐゴシック"/>
      <family val="3"/>
      <charset val="128"/>
      <scheme val="minor"/>
    </font>
    <font>
      <b/>
      <sz val="10"/>
      <color theme="1"/>
      <name val="ＭＳ Ｐゴシック"/>
      <family val="3"/>
      <charset val="128"/>
      <scheme val="minor"/>
    </font>
    <font>
      <b/>
      <sz val="12"/>
      <color theme="1"/>
      <name val="ＭＳ Ｐゴシック"/>
      <family val="3"/>
      <charset val="128"/>
      <scheme val="minor"/>
    </font>
    <font>
      <sz val="20"/>
      <color rgb="FFFF0000"/>
      <name val="ＭＳ Ｐゴシック"/>
      <family val="3"/>
      <charset val="128"/>
      <scheme val="minor"/>
    </font>
    <font>
      <sz val="11"/>
      <color rgb="FFFF0000"/>
      <name val="ＭＳ Ｐゴシック"/>
      <family val="2"/>
      <charset val="128"/>
      <scheme val="minor"/>
    </font>
    <font>
      <sz val="11"/>
      <color rgb="FF0070C0"/>
      <name val="ＭＳ Ｐゴシック"/>
      <family val="2"/>
      <charset val="128"/>
      <scheme val="minor"/>
    </font>
    <font>
      <sz val="12"/>
      <color rgb="FF0070C0"/>
      <name val="ＭＳ Ｐゴシック"/>
      <family val="2"/>
      <charset val="128"/>
      <scheme val="minor"/>
    </font>
    <font>
      <sz val="12"/>
      <name val="ＭＳ Ｐゴシック"/>
      <family val="2"/>
      <charset val="128"/>
      <scheme val="minor"/>
    </font>
    <font>
      <sz val="11"/>
      <name val="ＭＳ Ｐゴシック"/>
      <family val="2"/>
      <charset val="128"/>
      <scheme val="minor"/>
    </font>
    <font>
      <sz val="10"/>
      <name val="ＭＳ Ｐゴシック"/>
      <family val="2"/>
      <charset val="128"/>
      <scheme val="minor"/>
    </font>
    <font>
      <b/>
      <sz val="10"/>
      <name val="ＭＳ Ｐゴシック"/>
      <family val="3"/>
      <charset val="128"/>
      <scheme val="minor"/>
    </font>
    <font>
      <b/>
      <sz val="10"/>
      <name val="ＭＳ Ｐゴシック"/>
      <family val="2"/>
      <charset val="128"/>
      <scheme val="minor"/>
    </font>
    <font>
      <sz val="11"/>
      <name val="ＭＳ Ｐゴシック"/>
      <family val="3"/>
      <charset val="128"/>
    </font>
    <font>
      <sz val="10"/>
      <name val="ＭＳ Ｐゴシック"/>
      <family val="3"/>
      <charset val="128"/>
      <scheme val="minor"/>
    </font>
    <font>
      <sz val="10"/>
      <color rgb="FFFF0000"/>
      <name val="ＭＳ Ｐゴシック"/>
      <family val="3"/>
      <charset val="128"/>
      <scheme val="minor"/>
    </font>
    <font>
      <sz val="11"/>
      <color rgb="FFFF0000"/>
      <name val="ＭＳ Ｐゴシック"/>
      <family val="3"/>
      <charset val="128"/>
      <scheme val="minor"/>
    </font>
    <font>
      <sz val="11"/>
      <color rgb="FF0070C0"/>
      <name val="ＭＳ Ｐゴシック"/>
      <family val="3"/>
      <charset val="128"/>
      <scheme val="minor"/>
    </font>
    <font>
      <sz val="11"/>
      <name val="ＭＳ Ｐゴシック"/>
      <family val="3"/>
      <charset val="128"/>
      <scheme val="minor"/>
    </font>
    <font>
      <sz val="10"/>
      <name val="HGPｺﾞｼｯｸE"/>
      <family val="3"/>
      <charset val="128"/>
    </font>
    <font>
      <sz val="12"/>
      <name val="ＭＳ Ｐゴシック"/>
      <family val="3"/>
      <charset val="128"/>
      <scheme val="minor"/>
    </font>
    <font>
      <sz val="9"/>
      <name val="ＭＳ Ｐゴシック"/>
      <family val="2"/>
      <charset val="128"/>
      <scheme val="minor"/>
    </font>
    <font>
      <sz val="11"/>
      <name val="MS UI Gothic"/>
      <family val="2"/>
      <charset val="128"/>
    </font>
    <font>
      <sz val="11"/>
      <color theme="1"/>
      <name val="ＭＳ Ｐゴシック"/>
      <family val="2"/>
      <scheme val="minor"/>
    </font>
    <font>
      <sz val="16"/>
      <color theme="1"/>
      <name val="メイリオ"/>
      <family val="3"/>
      <charset val="128"/>
    </font>
    <font>
      <sz val="6"/>
      <name val="ＭＳ Ｐゴシック"/>
      <family val="3"/>
      <charset val="128"/>
      <scheme val="minor"/>
    </font>
    <font>
      <b/>
      <sz val="16"/>
      <name val="メイリオ"/>
      <family val="3"/>
      <charset val="128"/>
    </font>
    <font>
      <b/>
      <sz val="16"/>
      <color theme="1"/>
      <name val="メイリオ"/>
      <family val="3"/>
      <charset val="128"/>
    </font>
    <font>
      <sz val="12"/>
      <color theme="1"/>
      <name val="メイリオ"/>
      <family val="3"/>
      <charset val="128"/>
    </font>
    <font>
      <sz val="16"/>
      <name val="メイリオ"/>
      <family val="3"/>
      <charset val="128"/>
    </font>
    <font>
      <b/>
      <sz val="16"/>
      <color rgb="FFFF0000"/>
      <name val="メイリオ"/>
      <family val="3"/>
      <charset val="128"/>
    </font>
    <font>
      <sz val="14"/>
      <color theme="1"/>
      <name val="メイリオ"/>
      <family val="3"/>
      <charset val="128"/>
    </font>
    <font>
      <b/>
      <sz val="16"/>
      <color theme="1"/>
      <name val="ＭＳ Ｐゴシック"/>
      <family val="3"/>
      <charset val="128"/>
      <scheme val="minor"/>
    </font>
    <font>
      <sz val="14"/>
      <color theme="1"/>
      <name val="ＭＳ Ｐゴシック"/>
      <family val="3"/>
      <charset val="128"/>
      <scheme val="minor"/>
    </font>
    <font>
      <sz val="9"/>
      <color theme="1"/>
      <name val="ＭＳ Ｐゴシック"/>
      <family val="2"/>
      <charset val="128"/>
      <scheme val="minor"/>
    </font>
    <font>
      <sz val="16"/>
      <color rgb="FFFF0000"/>
      <name val="メイリオ"/>
      <family val="3"/>
      <charset val="128"/>
    </font>
    <font>
      <sz val="8"/>
      <color theme="1"/>
      <name val="ＭＳ Ｐゴシック"/>
      <family val="3"/>
      <charset val="128"/>
      <scheme val="minor"/>
    </font>
    <font>
      <sz val="10"/>
      <color rgb="FF0070C0"/>
      <name val="ＭＳ Ｐゴシック"/>
      <family val="3"/>
      <charset val="128"/>
      <scheme val="minor"/>
    </font>
    <font>
      <sz val="12"/>
      <color rgb="FF00B050"/>
      <name val="ＭＳ Ｐゴシック"/>
      <family val="3"/>
      <charset val="128"/>
      <scheme val="minor"/>
    </font>
    <font>
      <sz val="12"/>
      <color rgb="FFFF0000"/>
      <name val="ＭＳ Ｐゴシック"/>
      <family val="3"/>
      <charset val="128"/>
      <scheme val="minor"/>
    </font>
    <font>
      <sz val="12"/>
      <color rgb="FF0070C0"/>
      <name val="ＭＳ Ｐゴシック"/>
      <family val="3"/>
      <charset val="128"/>
      <scheme val="minor"/>
    </font>
    <font>
      <strike/>
      <sz val="12"/>
      <color theme="0"/>
      <name val="ＭＳ Ｐゴシック"/>
      <family val="3"/>
      <charset val="128"/>
      <scheme val="minor"/>
    </font>
    <font>
      <sz val="11"/>
      <color rgb="FF000000"/>
      <name val="ＭＳ Ｐゴシック"/>
      <family val="3"/>
      <charset val="128"/>
      <scheme val="minor"/>
    </font>
    <font>
      <sz val="10"/>
      <color theme="0"/>
      <name val="ＭＳ Ｐゴシック"/>
      <family val="2"/>
      <charset val="128"/>
      <scheme val="minor"/>
    </font>
    <font>
      <sz val="9"/>
      <color theme="0"/>
      <name val="ＭＳ Ｐゴシック"/>
      <family val="2"/>
      <charset val="128"/>
      <scheme val="minor"/>
    </font>
    <font>
      <sz val="10"/>
      <color theme="0"/>
      <name val="ＭＳ Ｐゴシック"/>
      <family val="3"/>
      <charset val="128"/>
      <scheme val="minor"/>
    </font>
    <font>
      <sz val="11"/>
      <color theme="0"/>
      <name val="ＭＳ Ｐゴシック"/>
      <family val="3"/>
      <charset val="128"/>
      <scheme val="minor"/>
    </font>
    <font>
      <sz val="9"/>
      <color theme="0"/>
      <name val="ＭＳ Ｐゴシック"/>
      <family val="3"/>
      <charset val="128"/>
      <scheme val="minor"/>
    </font>
    <font>
      <sz val="11"/>
      <color theme="1"/>
      <name val="MS UI Gothic"/>
      <family val="2"/>
      <charset val="128"/>
    </font>
    <font>
      <sz val="9"/>
      <color rgb="FFFF0000"/>
      <name val="ＭＳ Ｐゴシック"/>
      <family val="2"/>
      <charset val="128"/>
      <scheme val="minor"/>
    </font>
  </fonts>
  <fills count="22">
    <fill>
      <patternFill patternType="none"/>
    </fill>
    <fill>
      <patternFill patternType="gray125"/>
    </fill>
    <fill>
      <patternFill patternType="solid">
        <fgColor theme="0"/>
        <bgColor indexed="64"/>
      </patternFill>
    </fill>
    <fill>
      <patternFill patternType="solid">
        <fgColor rgb="FFFFFF00"/>
        <bgColor indexed="64"/>
      </patternFill>
    </fill>
    <fill>
      <patternFill patternType="solid">
        <fgColor theme="8" tint="0.59999389629810485"/>
        <bgColor indexed="64"/>
      </patternFill>
    </fill>
    <fill>
      <patternFill patternType="solid">
        <fgColor theme="6" tint="0.39997558519241921"/>
        <bgColor indexed="64"/>
      </patternFill>
    </fill>
    <fill>
      <patternFill patternType="solid">
        <fgColor theme="8" tint="0.79998168889431442"/>
        <bgColor indexed="64"/>
      </patternFill>
    </fill>
    <fill>
      <patternFill patternType="solid">
        <fgColor rgb="FFFFB3FD"/>
        <bgColor indexed="64"/>
      </patternFill>
    </fill>
    <fill>
      <patternFill patternType="solid">
        <fgColor theme="6" tint="0.79998168889431442"/>
        <bgColor indexed="64"/>
      </patternFill>
    </fill>
    <fill>
      <patternFill patternType="solid">
        <fgColor theme="7" tint="0.59999389629810485"/>
        <bgColor indexed="64"/>
      </patternFill>
    </fill>
    <fill>
      <patternFill patternType="solid">
        <fgColor rgb="FFFFFFCC"/>
        <bgColor indexed="64"/>
      </patternFill>
    </fill>
    <fill>
      <patternFill patternType="solid">
        <fgColor theme="0" tint="-0.14999847407452621"/>
        <bgColor indexed="64"/>
      </patternFill>
    </fill>
    <fill>
      <patternFill patternType="solid">
        <fgColor theme="6" tint="0.59999389629810485"/>
        <bgColor indexed="64"/>
      </patternFill>
    </fill>
    <fill>
      <patternFill patternType="solid">
        <fgColor theme="9" tint="0.59999389629810485"/>
        <bgColor indexed="64"/>
      </patternFill>
    </fill>
    <fill>
      <patternFill patternType="solid">
        <fgColor theme="3" tint="0.79998168889431442"/>
        <bgColor indexed="64"/>
      </patternFill>
    </fill>
    <fill>
      <patternFill patternType="solid">
        <fgColor theme="5" tint="0.79998168889431442"/>
        <bgColor indexed="64"/>
      </patternFill>
    </fill>
    <fill>
      <patternFill patternType="solid">
        <fgColor rgb="FFFFFF99"/>
        <bgColor indexed="64"/>
      </patternFill>
    </fill>
    <fill>
      <patternFill patternType="solid">
        <fgColor theme="4" tint="0.79998168889431442"/>
        <bgColor indexed="64"/>
      </patternFill>
    </fill>
    <fill>
      <patternFill patternType="solid">
        <fgColor theme="9" tint="0.39997558519241921"/>
        <bgColor indexed="64"/>
      </patternFill>
    </fill>
    <fill>
      <patternFill patternType="solid">
        <fgColor theme="9" tint="0.79998168889431442"/>
        <bgColor indexed="64"/>
      </patternFill>
    </fill>
    <fill>
      <patternFill patternType="solid">
        <fgColor rgb="FFFFCCFF"/>
        <bgColor indexed="64"/>
      </patternFill>
    </fill>
    <fill>
      <patternFill patternType="solid">
        <fgColor rgb="FFFF85FF"/>
        <bgColor indexed="64"/>
      </patternFill>
    </fill>
  </fills>
  <borders count="18">
    <border>
      <left/>
      <right/>
      <top/>
      <bottom/>
      <diagonal/>
    </border>
    <border>
      <left style="thin">
        <color indexed="64"/>
      </left>
      <right style="thin">
        <color indexed="64"/>
      </right>
      <top style="thin">
        <color indexed="64"/>
      </top>
      <bottom style="thin">
        <color indexed="64"/>
      </bottom>
      <diagonal/>
    </border>
    <border>
      <left/>
      <right/>
      <top/>
      <bottom style="thin">
        <color indexed="64"/>
      </bottom>
      <diagonal/>
    </border>
    <border>
      <left style="thin">
        <color indexed="64"/>
      </left>
      <right style="thin">
        <color indexed="64"/>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style="thin">
        <color indexed="64"/>
      </top>
      <bottom/>
      <diagonal/>
    </border>
    <border>
      <left style="thin">
        <color indexed="64"/>
      </left>
      <right/>
      <top/>
      <bottom/>
      <diagonal/>
    </border>
    <border>
      <left style="thin">
        <color indexed="64"/>
      </left>
      <right style="thin">
        <color indexed="64"/>
      </right>
      <top/>
      <bottom/>
      <diagonal/>
    </border>
    <border>
      <left style="thin">
        <color indexed="64"/>
      </left>
      <right/>
      <top/>
      <bottom style="thin">
        <color indexed="64"/>
      </bottom>
      <diagonal/>
    </border>
    <border>
      <left style="thin">
        <color indexed="64"/>
      </left>
      <right/>
      <top style="dashed">
        <color indexed="64"/>
      </top>
      <bottom style="dashed">
        <color indexed="64"/>
      </bottom>
      <diagonal/>
    </border>
    <border>
      <left style="thin">
        <color indexed="64"/>
      </left>
      <right/>
      <top style="dashed">
        <color indexed="64"/>
      </top>
      <bottom style="thin">
        <color indexed="64"/>
      </bottom>
      <diagonal/>
    </border>
    <border>
      <left/>
      <right style="thin">
        <color indexed="64"/>
      </right>
      <top/>
      <bottom style="thin">
        <color indexed="64"/>
      </bottom>
      <diagonal/>
    </border>
    <border>
      <left/>
      <right style="thin">
        <color indexed="64"/>
      </right>
      <top style="thin">
        <color indexed="64"/>
      </top>
      <bottom/>
      <diagonal/>
    </border>
    <border>
      <left/>
      <right style="thin">
        <color indexed="64"/>
      </right>
      <top/>
      <bottom/>
      <diagonal/>
    </border>
    <border>
      <left/>
      <right/>
      <top style="thin">
        <color indexed="64"/>
      </top>
      <bottom/>
      <diagonal/>
    </border>
  </borders>
  <cellStyleXfs count="5">
    <xf numFmtId="0" fontId="0" fillId="0" borderId="0">
      <alignment vertical="center"/>
    </xf>
    <xf numFmtId="38" fontId="1" fillId="0" borderId="0" applyFont="0" applyFill="0" applyBorder="0" applyAlignment="0" applyProtection="0">
      <alignment vertical="center"/>
    </xf>
    <xf numFmtId="0" fontId="18" fillId="0" borderId="0"/>
    <xf numFmtId="38" fontId="18" fillId="0" borderId="0" applyFont="0" applyFill="0" applyBorder="0" applyAlignment="0" applyProtection="0"/>
    <xf numFmtId="0" fontId="28" fillId="0" borderId="0"/>
  </cellStyleXfs>
  <cellXfs count="408">
    <xf numFmtId="0" fontId="0" fillId="0" borderId="0" xfId="0">
      <alignment vertical="center"/>
    </xf>
    <xf numFmtId="0" fontId="0" fillId="0" borderId="0" xfId="0" applyAlignment="1">
      <alignment horizontal="center" vertical="center"/>
    </xf>
    <xf numFmtId="0" fontId="0" fillId="0" borderId="1" xfId="0" applyBorder="1" applyAlignment="1">
      <alignment horizontal="center" vertical="center"/>
    </xf>
    <xf numFmtId="0" fontId="3" fillId="0" borderId="1" xfId="0" applyFont="1" applyBorder="1" applyAlignment="1">
      <alignment horizontal="center" vertical="center"/>
    </xf>
    <xf numFmtId="38" fontId="4" fillId="0" borderId="1" xfId="1" applyFont="1" applyBorder="1">
      <alignment vertical="center"/>
    </xf>
    <xf numFmtId="0" fontId="4" fillId="0" borderId="0" xfId="0" applyFont="1" applyAlignment="1">
      <alignment horizontal="center" vertical="center"/>
    </xf>
    <xf numFmtId="0" fontId="3" fillId="0" borderId="1" xfId="0" applyFont="1" applyBorder="1" applyAlignment="1">
      <alignment horizontal="left" vertical="center"/>
    </xf>
    <xf numFmtId="38" fontId="4" fillId="0" borderId="1" xfId="1" applyFont="1" applyBorder="1" applyAlignment="1">
      <alignment horizontal="left" vertical="center"/>
    </xf>
    <xf numFmtId="38" fontId="0" fillId="0" borderId="1" xfId="1" applyFont="1" applyBorder="1" applyAlignment="1">
      <alignment horizontal="right" vertical="center"/>
    </xf>
    <xf numFmtId="0" fontId="0" fillId="0" borderId="1" xfId="0" applyBorder="1" applyAlignment="1">
      <alignment horizontal="left" vertical="center"/>
    </xf>
    <xf numFmtId="38" fontId="0" fillId="0" borderId="1" xfId="1" applyFont="1" applyBorder="1" applyAlignment="1">
      <alignment horizontal="center" vertical="center"/>
    </xf>
    <xf numFmtId="38" fontId="0" fillId="0" borderId="0" xfId="1" applyFont="1" applyAlignment="1">
      <alignment horizontal="right" vertical="center"/>
    </xf>
    <xf numFmtId="0" fontId="4" fillId="0" borderId="1" xfId="0" applyFont="1" applyBorder="1" applyAlignment="1">
      <alignment horizontal="center" vertical="center"/>
    </xf>
    <xf numFmtId="0" fontId="4" fillId="0" borderId="0" xfId="0" applyFont="1" applyAlignment="1">
      <alignment horizontal="left" vertical="center"/>
    </xf>
    <xf numFmtId="38" fontId="5" fillId="0" borderId="0" xfId="1" applyFont="1" applyAlignment="1">
      <alignment horizontal="right" vertical="center"/>
    </xf>
    <xf numFmtId="0" fontId="5" fillId="0" borderId="0" xfId="0" applyFont="1">
      <alignment vertical="center"/>
    </xf>
    <xf numFmtId="38" fontId="0" fillId="0" borderId="0" xfId="1" applyFont="1" applyAlignment="1">
      <alignment horizontal="center" vertical="center"/>
    </xf>
    <xf numFmtId="0" fontId="5" fillId="0" borderId="0" xfId="0" applyFont="1" applyAlignment="1">
      <alignment horizontal="center" vertical="center"/>
    </xf>
    <xf numFmtId="38" fontId="5" fillId="0" borderId="0" xfId="1" applyFont="1" applyAlignment="1">
      <alignment horizontal="center" vertical="center"/>
    </xf>
    <xf numFmtId="0" fontId="0" fillId="0" borderId="1" xfId="1" applyNumberFormat="1" applyFont="1" applyBorder="1" applyAlignment="1">
      <alignment horizontal="center" vertical="center"/>
    </xf>
    <xf numFmtId="0" fontId="9" fillId="0" borderId="0" xfId="0" applyFont="1" applyAlignment="1">
      <alignment horizontal="center" vertical="center"/>
    </xf>
    <xf numFmtId="0" fontId="3" fillId="2" borderId="1" xfId="0" applyFont="1" applyFill="1" applyBorder="1" applyAlignment="1">
      <alignment horizontal="center" vertical="center"/>
    </xf>
    <xf numFmtId="0" fontId="4" fillId="2" borderId="1" xfId="0" applyFont="1" applyFill="1" applyBorder="1" applyAlignment="1">
      <alignment horizontal="center" vertical="center"/>
    </xf>
    <xf numFmtId="38" fontId="4" fillId="2" borderId="1" xfId="1" applyFont="1" applyFill="1" applyBorder="1" applyAlignment="1">
      <alignment horizontal="left" vertical="center"/>
    </xf>
    <xf numFmtId="0" fontId="0" fillId="2" borderId="1" xfId="1" applyNumberFormat="1" applyFont="1" applyFill="1" applyBorder="1" applyAlignment="1">
      <alignment horizontal="center" vertical="center"/>
    </xf>
    <xf numFmtId="38" fontId="4" fillId="2" borderId="1" xfId="1" applyFont="1" applyFill="1" applyBorder="1">
      <alignment vertical="center"/>
    </xf>
    <xf numFmtId="38" fontId="0" fillId="0" borderId="0" xfId="1" applyFont="1" applyBorder="1" applyAlignment="1">
      <alignment horizontal="right" vertical="center"/>
    </xf>
    <xf numFmtId="38" fontId="0" fillId="2" borderId="0" xfId="1" applyFont="1" applyFill="1" applyBorder="1" applyAlignment="1">
      <alignment horizontal="right" vertical="center"/>
    </xf>
    <xf numFmtId="0" fontId="0" fillId="3" borderId="0" xfId="0" applyFill="1">
      <alignment vertical="center"/>
    </xf>
    <xf numFmtId="0" fontId="11" fillId="3" borderId="0" xfId="0" applyFont="1" applyFill="1" applyAlignment="1">
      <alignment horizontal="right" vertical="center"/>
    </xf>
    <xf numFmtId="38" fontId="12" fillId="3" borderId="0" xfId="1" applyFont="1" applyFill="1" applyAlignment="1">
      <alignment horizontal="right" vertical="center"/>
    </xf>
    <xf numFmtId="0" fontId="10" fillId="0" borderId="0" xfId="0" applyFont="1">
      <alignment vertical="center"/>
    </xf>
    <xf numFmtId="0" fontId="14" fillId="0" borderId="0" xfId="0" applyFont="1" applyAlignment="1">
      <alignment horizontal="right" vertical="center"/>
    </xf>
    <xf numFmtId="38" fontId="0" fillId="0" borderId="0" xfId="1" applyFont="1" applyFill="1" applyAlignment="1">
      <alignment horizontal="right" vertical="center"/>
    </xf>
    <xf numFmtId="38" fontId="13" fillId="0" borderId="0" xfId="1" applyFont="1" applyFill="1" applyAlignment="1">
      <alignment horizontal="right" vertical="center"/>
    </xf>
    <xf numFmtId="0" fontId="6" fillId="0" borderId="0" xfId="0" applyFont="1" applyAlignment="1">
      <alignment horizontal="left" vertical="center"/>
    </xf>
    <xf numFmtId="38" fontId="6" fillId="0" borderId="0" xfId="1" applyFont="1" applyFill="1" applyAlignment="1">
      <alignment horizontal="right" vertical="center"/>
    </xf>
    <xf numFmtId="0" fontId="15" fillId="0" borderId="1" xfId="0" applyFont="1" applyBorder="1" applyAlignment="1">
      <alignment horizontal="left" vertical="center"/>
    </xf>
    <xf numFmtId="0" fontId="14" fillId="0" borderId="1" xfId="0" applyFont="1" applyBorder="1" applyAlignment="1">
      <alignment horizontal="center" vertical="center"/>
    </xf>
    <xf numFmtId="0" fontId="14" fillId="0" borderId="1" xfId="0" applyFont="1" applyBorder="1" applyAlignment="1">
      <alignment horizontal="left" vertical="center"/>
    </xf>
    <xf numFmtId="38" fontId="15" fillId="0" borderId="1" xfId="1" applyFont="1" applyBorder="1">
      <alignment vertical="center"/>
    </xf>
    <xf numFmtId="0" fontId="15" fillId="0" borderId="1" xfId="0" applyFont="1" applyBorder="1" applyAlignment="1">
      <alignment horizontal="center" vertical="center"/>
    </xf>
    <xf numFmtId="38" fontId="14" fillId="0" borderId="1" xfId="1" applyFont="1" applyBorder="1" applyAlignment="1">
      <alignment horizontal="right" vertical="center"/>
    </xf>
    <xf numFmtId="38" fontId="14" fillId="0" borderId="1" xfId="1" applyFont="1" applyBorder="1" applyAlignment="1">
      <alignment horizontal="center" vertical="center"/>
    </xf>
    <xf numFmtId="38" fontId="1" fillId="0" borderId="1" xfId="1" applyFont="1" applyBorder="1" applyAlignment="1">
      <alignment horizontal="center" vertical="center"/>
    </xf>
    <xf numFmtId="38" fontId="1" fillId="0" borderId="1" xfId="1" applyFont="1" applyBorder="1" applyAlignment="1">
      <alignment horizontal="right" vertical="center"/>
    </xf>
    <xf numFmtId="38" fontId="1" fillId="2" borderId="1" xfId="1" applyFont="1" applyFill="1" applyBorder="1" applyAlignment="1">
      <alignment horizontal="right" vertical="center"/>
    </xf>
    <xf numFmtId="38" fontId="1" fillId="0" borderId="1" xfId="1" applyFont="1" applyFill="1" applyBorder="1" applyAlignment="1">
      <alignment horizontal="right" vertical="center"/>
    </xf>
    <xf numFmtId="38" fontId="0" fillId="0" borderId="1" xfId="1" applyFont="1" applyFill="1" applyBorder="1" applyAlignment="1">
      <alignment horizontal="right" vertical="center"/>
    </xf>
    <xf numFmtId="0" fontId="0" fillId="0" borderId="1" xfId="1" quotePrefix="1" applyNumberFormat="1" applyFont="1" applyBorder="1" applyAlignment="1">
      <alignment horizontal="center" vertical="center"/>
    </xf>
    <xf numFmtId="0" fontId="19" fillId="0" borderId="1" xfId="0" applyFont="1" applyBorder="1" applyAlignment="1">
      <alignment horizontal="center" vertical="center"/>
    </xf>
    <xf numFmtId="0" fontId="20" fillId="0" borderId="1" xfId="0" applyFont="1" applyBorder="1" applyAlignment="1">
      <alignment horizontal="center" vertical="center"/>
    </xf>
    <xf numFmtId="38" fontId="20" fillId="0" borderId="1" xfId="1" applyFont="1" applyBorder="1" applyAlignment="1">
      <alignment horizontal="left" vertical="center"/>
    </xf>
    <xf numFmtId="0" fontId="21" fillId="0" borderId="1" xfId="1" applyNumberFormat="1" applyFont="1" applyBorder="1" applyAlignment="1">
      <alignment horizontal="center" vertical="center"/>
    </xf>
    <xf numFmtId="38" fontId="20" fillId="0" borderId="1" xfId="1" applyFont="1" applyBorder="1">
      <alignment vertical="center"/>
    </xf>
    <xf numFmtId="38" fontId="21" fillId="0" borderId="1" xfId="1" applyFont="1" applyBorder="1" applyAlignment="1">
      <alignment horizontal="right" vertical="center"/>
    </xf>
    <xf numFmtId="38" fontId="0" fillId="0" borderId="0" xfId="0" applyNumberFormat="1" applyAlignment="1">
      <alignment horizontal="center" vertical="center"/>
    </xf>
    <xf numFmtId="0" fontId="11" fillId="0" borderId="0" xfId="0" applyFont="1" applyAlignment="1">
      <alignment horizontal="center" vertical="center"/>
    </xf>
    <xf numFmtId="3" fontId="22" fillId="0" borderId="0" xfId="0" applyNumberFormat="1" applyFont="1" applyAlignment="1">
      <alignment horizontal="center" vertical="center"/>
    </xf>
    <xf numFmtId="0" fontId="11" fillId="0" borderId="0" xfId="0" applyFont="1" applyAlignment="1">
      <alignment horizontal="left" vertical="center"/>
    </xf>
    <xf numFmtId="0" fontId="22" fillId="0" borderId="0" xfId="0" applyFont="1" applyAlignment="1">
      <alignment horizontal="left" vertical="center"/>
    </xf>
    <xf numFmtId="3" fontId="0" fillId="0" borderId="0" xfId="0" applyNumberFormat="1" applyAlignment="1">
      <alignment horizontal="center" vertical="center"/>
    </xf>
    <xf numFmtId="0" fontId="14" fillId="0" borderId="0" xfId="0" applyFont="1" applyAlignment="1">
      <alignment horizontal="left" vertical="center"/>
    </xf>
    <xf numFmtId="38" fontId="14" fillId="4" borderId="1" xfId="1" applyFont="1" applyFill="1" applyBorder="1" applyAlignment="1">
      <alignment horizontal="right" vertical="center"/>
    </xf>
    <xf numFmtId="38" fontId="4" fillId="5" borderId="1" xfId="1" applyFont="1" applyFill="1" applyBorder="1" applyAlignment="1">
      <alignment horizontal="left" vertical="center"/>
    </xf>
    <xf numFmtId="38" fontId="4" fillId="3" borderId="1" xfId="1" applyFont="1" applyFill="1" applyBorder="1" applyAlignment="1">
      <alignment horizontal="left" vertical="center"/>
    </xf>
    <xf numFmtId="0" fontId="0" fillId="3" borderId="1" xfId="1" quotePrefix="1" applyNumberFormat="1" applyFont="1" applyFill="1" applyBorder="1" applyAlignment="1">
      <alignment horizontal="center" vertical="center"/>
    </xf>
    <xf numFmtId="38" fontId="4" fillId="3" borderId="1" xfId="1" applyFont="1" applyFill="1" applyBorder="1">
      <alignment vertical="center"/>
    </xf>
    <xf numFmtId="38" fontId="14" fillId="3" borderId="1" xfId="1" applyFont="1" applyFill="1" applyBorder="1" applyAlignment="1">
      <alignment horizontal="right" vertical="center"/>
    </xf>
    <xf numFmtId="38" fontId="10" fillId="0" borderId="1" xfId="1" applyFont="1" applyBorder="1" applyAlignment="1">
      <alignment horizontal="right" vertical="center"/>
    </xf>
    <xf numFmtId="38" fontId="14" fillId="0" borderId="1" xfId="1" applyFont="1" applyFill="1" applyBorder="1" applyAlignment="1">
      <alignment horizontal="right" vertical="center"/>
    </xf>
    <xf numFmtId="176" fontId="0" fillId="0" borderId="0" xfId="0" applyNumberFormat="1" applyAlignment="1">
      <alignment horizontal="center" vertical="center"/>
    </xf>
    <xf numFmtId="38" fontId="14" fillId="7" borderId="1" xfId="1" applyFont="1" applyFill="1" applyBorder="1" applyAlignment="1">
      <alignment horizontal="right" vertical="center"/>
    </xf>
    <xf numFmtId="0" fontId="11" fillId="0" borderId="0" xfId="0" applyFont="1" applyAlignment="1">
      <alignment horizontal="right" vertical="center"/>
    </xf>
    <xf numFmtId="38" fontId="12" fillId="0" borderId="0" xfId="1" applyFont="1" applyFill="1" applyAlignment="1">
      <alignment horizontal="right" vertical="center"/>
    </xf>
    <xf numFmtId="0" fontId="0" fillId="0" borderId="0" xfId="0" applyAlignment="1">
      <alignment horizontal="right" vertical="center"/>
    </xf>
    <xf numFmtId="177" fontId="0" fillId="0" borderId="0" xfId="0" applyNumberFormat="1" applyAlignment="1">
      <alignment horizontal="center" vertical="center"/>
    </xf>
    <xf numFmtId="0" fontId="20" fillId="3" borderId="1" xfId="0" applyFont="1" applyFill="1" applyBorder="1" applyAlignment="1">
      <alignment horizontal="center" vertical="center"/>
    </xf>
    <xf numFmtId="38" fontId="19" fillId="0" borderId="1" xfId="1" applyFont="1" applyBorder="1" applyAlignment="1">
      <alignment horizontal="left" vertical="center"/>
    </xf>
    <xf numFmtId="0" fontId="4" fillId="0" borderId="0" xfId="0" applyFont="1" applyAlignment="1">
      <alignment horizontal="right" vertical="center"/>
    </xf>
    <xf numFmtId="5" fontId="4" fillId="0" borderId="0" xfId="0" applyNumberFormat="1" applyFont="1" applyAlignment="1">
      <alignment horizontal="left" vertical="center"/>
    </xf>
    <xf numFmtId="0" fontId="19" fillId="0" borderId="2" xfId="0" applyFont="1" applyBorder="1" applyAlignment="1">
      <alignment horizontal="center" vertical="center"/>
    </xf>
    <xf numFmtId="0" fontId="19" fillId="0" borderId="2" xfId="0" applyFont="1" applyBorder="1" applyAlignment="1">
      <alignment horizontal="left" vertical="center"/>
    </xf>
    <xf numFmtId="38" fontId="19" fillId="0" borderId="2" xfId="1" applyFont="1" applyFill="1" applyBorder="1" applyAlignment="1">
      <alignment horizontal="center" vertical="center"/>
    </xf>
    <xf numFmtId="38" fontId="19" fillId="8" borderId="2" xfId="1" applyFont="1" applyFill="1" applyBorder="1" applyAlignment="1">
      <alignment vertical="center"/>
    </xf>
    <xf numFmtId="0" fontId="19" fillId="0" borderId="0" xfId="0" applyFont="1" applyAlignment="1">
      <alignment horizontal="left" vertical="center"/>
    </xf>
    <xf numFmtId="0" fontId="23" fillId="0" borderId="0" xfId="0" applyFont="1" applyAlignment="1">
      <alignment horizontal="center" vertical="center"/>
    </xf>
    <xf numFmtId="0" fontId="19" fillId="0" borderId="3" xfId="0" applyFont="1" applyBorder="1" applyAlignment="1">
      <alignment horizontal="center" vertical="center"/>
    </xf>
    <xf numFmtId="0" fontId="19" fillId="0" borderId="1" xfId="0" applyFont="1" applyBorder="1" applyAlignment="1">
      <alignment horizontal="left" vertical="center"/>
    </xf>
    <xf numFmtId="38" fontId="19" fillId="9" borderId="3" xfId="1" applyFont="1" applyFill="1" applyBorder="1" applyAlignment="1">
      <alignment horizontal="center" vertical="center"/>
    </xf>
    <xf numFmtId="38" fontId="19" fillId="10" borderId="3" xfId="1" applyFont="1" applyFill="1" applyBorder="1" applyAlignment="1">
      <alignment horizontal="center" vertical="center"/>
    </xf>
    <xf numFmtId="38" fontId="19" fillId="0" borderId="3" xfId="1" applyFont="1" applyFill="1" applyBorder="1" applyAlignment="1">
      <alignment horizontal="center" vertical="center"/>
    </xf>
    <xf numFmtId="38" fontId="19" fillId="0" borderId="1" xfId="1" applyFont="1" applyFill="1" applyBorder="1" applyAlignment="1">
      <alignment horizontal="center" vertical="center"/>
    </xf>
    <xf numFmtId="0" fontId="15" fillId="11" borderId="3" xfId="0" applyFont="1" applyFill="1" applyBorder="1" applyAlignment="1">
      <alignment horizontal="center" vertical="center"/>
    </xf>
    <xf numFmtId="0" fontId="15" fillId="11" borderId="3" xfId="0" applyFont="1" applyFill="1" applyBorder="1" applyAlignment="1">
      <alignment horizontal="left" vertical="center"/>
    </xf>
    <xf numFmtId="38" fontId="15" fillId="11" borderId="3" xfId="1" applyFont="1" applyFill="1" applyBorder="1" applyAlignment="1">
      <alignment horizontal="center" vertical="center"/>
    </xf>
    <xf numFmtId="38" fontId="15" fillId="11" borderId="1" xfId="1" applyFont="1" applyFill="1" applyBorder="1" applyAlignment="1">
      <alignment horizontal="right" vertical="center"/>
    </xf>
    <xf numFmtId="0" fontId="15" fillId="11" borderId="1" xfId="0" applyFont="1" applyFill="1" applyBorder="1" applyAlignment="1">
      <alignment horizontal="right" vertical="center"/>
    </xf>
    <xf numFmtId="0" fontId="15" fillId="11" borderId="1" xfId="0" applyFont="1" applyFill="1" applyBorder="1" applyAlignment="1">
      <alignment horizontal="center" vertical="center"/>
    </xf>
    <xf numFmtId="0" fontId="15" fillId="11" borderId="1" xfId="0" applyFont="1" applyFill="1" applyBorder="1" applyAlignment="1">
      <alignment horizontal="left" vertical="center"/>
    </xf>
    <xf numFmtId="0" fontId="14" fillId="0" borderId="0" xfId="0" applyFont="1" applyAlignment="1">
      <alignment horizontal="center" vertical="center"/>
    </xf>
    <xf numFmtId="38" fontId="15" fillId="0" borderId="1" xfId="1" applyFont="1" applyFill="1" applyBorder="1" applyAlignment="1">
      <alignment vertical="center"/>
    </xf>
    <xf numFmtId="38" fontId="15" fillId="0" borderId="1" xfId="1" applyFont="1" applyFill="1" applyBorder="1" applyAlignment="1">
      <alignment horizontal="center" vertical="center"/>
    </xf>
    <xf numFmtId="38" fontId="15" fillId="0" borderId="1" xfId="1" applyFont="1" applyFill="1" applyBorder="1" applyAlignment="1">
      <alignment horizontal="right" vertical="center"/>
    </xf>
    <xf numFmtId="38" fontId="14" fillId="0" borderId="0" xfId="0" applyNumberFormat="1" applyFont="1" applyAlignment="1">
      <alignment horizontal="center" vertical="center"/>
    </xf>
    <xf numFmtId="38" fontId="15" fillId="0" borderId="1" xfId="1" applyFont="1" applyFill="1" applyBorder="1" applyAlignment="1">
      <alignment horizontal="left" vertical="center"/>
    </xf>
    <xf numFmtId="38" fontId="15" fillId="0" borderId="1" xfId="1" applyFont="1" applyFill="1" applyBorder="1">
      <alignment vertical="center"/>
    </xf>
    <xf numFmtId="0" fontId="23" fillId="0" borderId="0" xfId="0" applyFont="1">
      <alignment vertical="center"/>
    </xf>
    <xf numFmtId="0" fontId="24" fillId="0" borderId="5" xfId="0" applyFont="1" applyBorder="1">
      <alignment vertical="center"/>
    </xf>
    <xf numFmtId="0" fontId="24" fillId="0" borderId="6" xfId="0" applyFont="1" applyBorder="1">
      <alignment vertical="center"/>
    </xf>
    <xf numFmtId="0" fontId="24" fillId="0" borderId="6" xfId="0" applyFont="1" applyBorder="1" applyAlignment="1">
      <alignment horizontal="right" vertical="center"/>
    </xf>
    <xf numFmtId="0" fontId="24" fillId="0" borderId="4" xfId="0" applyFont="1" applyBorder="1">
      <alignment vertical="center"/>
    </xf>
    <xf numFmtId="38" fontId="24" fillId="0" borderId="1" xfId="1" applyFont="1" applyFill="1" applyBorder="1" applyAlignment="1">
      <alignment horizontal="right" vertical="center"/>
    </xf>
    <xf numFmtId="0" fontId="14" fillId="0" borderId="0" xfId="0" applyFont="1">
      <alignment vertical="center"/>
    </xf>
    <xf numFmtId="0" fontId="19" fillId="0" borderId="0" xfId="0" applyFont="1" applyAlignment="1">
      <alignment horizontal="center" vertical="center"/>
    </xf>
    <xf numFmtId="38" fontId="14" fillId="12" borderId="0" xfId="1" applyFont="1" applyFill="1" applyBorder="1" applyAlignment="1">
      <alignment horizontal="center" vertical="center"/>
    </xf>
    <xf numFmtId="38" fontId="14" fillId="4" borderId="0" xfId="1" applyFont="1" applyFill="1" applyBorder="1" applyAlignment="1">
      <alignment horizontal="center" vertical="center"/>
    </xf>
    <xf numFmtId="38" fontId="14" fillId="13" borderId="0" xfId="1" applyFont="1" applyFill="1" applyBorder="1" applyAlignment="1">
      <alignment horizontal="center" vertical="center"/>
    </xf>
    <xf numFmtId="0" fontId="19" fillId="11" borderId="0" xfId="0" applyFont="1" applyFill="1" applyAlignment="1">
      <alignment horizontal="right" vertical="center"/>
    </xf>
    <xf numFmtId="0" fontId="19" fillId="14" borderId="0" xfId="0" applyFont="1" applyFill="1" applyAlignment="1">
      <alignment horizontal="center" vertical="center"/>
    </xf>
    <xf numFmtId="0" fontId="25" fillId="12" borderId="0" xfId="0" applyFont="1" applyFill="1" applyAlignment="1">
      <alignment horizontal="left" vertical="center"/>
    </xf>
    <xf numFmtId="38" fontId="19" fillId="12" borderId="0" xfId="1" applyFont="1" applyFill="1" applyBorder="1" applyAlignment="1">
      <alignment horizontal="right" vertical="center"/>
    </xf>
    <xf numFmtId="38" fontId="19" fillId="12" borderId="0" xfId="1" applyFont="1" applyFill="1" applyBorder="1" applyAlignment="1">
      <alignment horizontal="center" vertical="center"/>
    </xf>
    <xf numFmtId="38" fontId="24" fillId="12" borderId="0" xfId="1" applyFont="1" applyFill="1" applyBorder="1" applyAlignment="1">
      <alignment horizontal="right" vertical="center"/>
    </xf>
    <xf numFmtId="38" fontId="19" fillId="10" borderId="0" xfId="0" applyNumberFormat="1" applyFont="1" applyFill="1">
      <alignment vertical="center"/>
    </xf>
    <xf numFmtId="0" fontId="19" fillId="15" borderId="0" xfId="0" applyFont="1" applyFill="1" applyAlignment="1">
      <alignment horizontal="center" vertical="center"/>
    </xf>
    <xf numFmtId="0" fontId="25" fillId="0" borderId="0" xfId="0" applyFont="1" applyAlignment="1">
      <alignment horizontal="right" vertical="center"/>
    </xf>
    <xf numFmtId="0" fontId="25" fillId="4" borderId="0" xfId="0" applyFont="1" applyFill="1">
      <alignment vertical="center"/>
    </xf>
    <xf numFmtId="0" fontId="25" fillId="4" borderId="0" xfId="0" applyFont="1" applyFill="1" applyAlignment="1">
      <alignment horizontal="center" vertical="center"/>
    </xf>
    <xf numFmtId="38" fontId="24" fillId="4" borderId="0" xfId="1" applyFont="1" applyFill="1" applyBorder="1" applyAlignment="1">
      <alignment horizontal="right" vertical="center"/>
    </xf>
    <xf numFmtId="38" fontId="25" fillId="4" borderId="0" xfId="1" applyFont="1" applyFill="1" applyBorder="1" applyAlignment="1">
      <alignment horizontal="left" vertical="center"/>
    </xf>
    <xf numFmtId="38" fontId="19" fillId="9" borderId="0" xfId="0" applyNumberFormat="1" applyFont="1" applyFill="1">
      <alignment vertical="center"/>
    </xf>
    <xf numFmtId="0" fontId="25" fillId="0" borderId="0" xfId="0" applyFont="1">
      <alignment vertical="center"/>
    </xf>
    <xf numFmtId="38" fontId="25" fillId="13" borderId="0" xfId="1" applyFont="1" applyFill="1" applyBorder="1" applyAlignment="1">
      <alignment vertical="center"/>
    </xf>
    <xf numFmtId="38" fontId="25" fillId="13" borderId="0" xfId="1" applyFont="1" applyFill="1" applyBorder="1" applyAlignment="1">
      <alignment horizontal="center" vertical="center"/>
    </xf>
    <xf numFmtId="38" fontId="24" fillId="13" borderId="0" xfId="1" applyFont="1" applyFill="1" applyBorder="1" applyAlignment="1">
      <alignment horizontal="right" vertical="center"/>
    </xf>
    <xf numFmtId="38" fontId="25" fillId="13" borderId="0" xfId="1" applyFont="1" applyFill="1" applyBorder="1" applyAlignment="1">
      <alignment horizontal="left" vertical="center"/>
    </xf>
    <xf numFmtId="38" fontId="19" fillId="0" borderId="0" xfId="0" applyNumberFormat="1" applyFont="1" applyAlignment="1">
      <alignment horizontal="center" vertical="center"/>
    </xf>
    <xf numFmtId="38" fontId="14" fillId="0" borderId="0" xfId="1" applyFont="1" applyFill="1" applyBorder="1" applyAlignment="1">
      <alignment horizontal="right" vertical="center"/>
    </xf>
    <xf numFmtId="0" fontId="19" fillId="0" borderId="0" xfId="0" applyFont="1" applyAlignment="1">
      <alignment horizontal="right" vertical="center"/>
    </xf>
    <xf numFmtId="38" fontId="15" fillId="0" borderId="0" xfId="1" applyFont="1" applyFill="1" applyBorder="1" applyAlignment="1">
      <alignment horizontal="right" vertical="center"/>
    </xf>
    <xf numFmtId="38" fontId="26" fillId="0" borderId="0" xfId="1" applyFont="1" applyFill="1" applyBorder="1" applyAlignment="1">
      <alignment horizontal="right" vertical="center"/>
    </xf>
    <xf numFmtId="38" fontId="14" fillId="0" borderId="0" xfId="1" applyFont="1" applyFill="1" applyBorder="1" applyAlignment="1">
      <alignment horizontal="center" vertical="center"/>
    </xf>
    <xf numFmtId="0" fontId="26" fillId="0" borderId="0" xfId="0" applyFont="1">
      <alignment vertical="center"/>
    </xf>
    <xf numFmtId="38" fontId="23" fillId="0" borderId="0" xfId="1" applyFont="1" applyFill="1" applyAlignment="1">
      <alignment horizontal="right" vertical="center"/>
    </xf>
    <xf numFmtId="0" fontId="23" fillId="0" borderId="0" xfId="0" applyFont="1" applyAlignment="1">
      <alignment horizontal="left" vertical="center"/>
    </xf>
    <xf numFmtId="38" fontId="23" fillId="0" borderId="0" xfId="1" applyFont="1" applyFill="1" applyAlignment="1">
      <alignment horizontal="center" vertical="center"/>
    </xf>
    <xf numFmtId="0" fontId="27" fillId="0" borderId="1" xfId="0" applyFont="1" applyBorder="1" applyAlignment="1">
      <alignment horizontal="left" vertical="center"/>
    </xf>
    <xf numFmtId="38" fontId="19" fillId="0" borderId="0" xfId="0" applyNumberFormat="1" applyFont="1" applyAlignment="1">
      <alignment horizontal="right" vertical="center"/>
    </xf>
    <xf numFmtId="0" fontId="19" fillId="0" borderId="5" xfId="0" applyFont="1" applyBorder="1" applyAlignment="1">
      <alignment horizontal="left" vertical="center"/>
    </xf>
    <xf numFmtId="0" fontId="19" fillId="0" borderId="5" xfId="0" applyFont="1" applyBorder="1" applyAlignment="1">
      <alignment horizontal="center" vertical="center"/>
    </xf>
    <xf numFmtId="0" fontId="27" fillId="0" borderId="5" xfId="0" applyFont="1" applyBorder="1">
      <alignment vertical="center"/>
    </xf>
    <xf numFmtId="38" fontId="15" fillId="0" borderId="9" xfId="1" applyFont="1" applyFill="1" applyBorder="1" applyAlignment="1">
      <alignment horizontal="left" vertical="center"/>
    </xf>
    <xf numFmtId="0" fontId="14" fillId="0" borderId="5" xfId="0" applyFont="1" applyBorder="1">
      <alignment vertical="center"/>
    </xf>
    <xf numFmtId="0" fontId="23" fillId="0" borderId="0" xfId="0" applyFont="1" applyAlignment="1">
      <alignment horizontal="right" vertical="center"/>
    </xf>
    <xf numFmtId="176" fontId="23" fillId="0" borderId="0" xfId="0" applyNumberFormat="1" applyFont="1" applyAlignment="1">
      <alignment horizontal="right" vertical="center"/>
    </xf>
    <xf numFmtId="0" fontId="19" fillId="0" borderId="1" xfId="0" quotePrefix="1" applyFont="1" applyBorder="1" applyAlignment="1">
      <alignment horizontal="left" vertical="center"/>
    </xf>
    <xf numFmtId="38" fontId="19" fillId="0" borderId="1" xfId="0" applyNumberFormat="1" applyFont="1" applyBorder="1" applyAlignment="1">
      <alignment horizontal="left" vertical="center"/>
    </xf>
    <xf numFmtId="0" fontId="0" fillId="0" borderId="0" xfId="0" quotePrefix="1" applyAlignment="1">
      <alignment horizontal="center" vertical="center"/>
    </xf>
    <xf numFmtId="38" fontId="15" fillId="11" borderId="1" xfId="1" applyFont="1" applyFill="1" applyBorder="1" applyAlignment="1">
      <alignment horizontal="left" vertical="center"/>
    </xf>
    <xf numFmtId="38" fontId="15" fillId="11" borderId="1" xfId="1" applyFont="1" applyFill="1" applyBorder="1">
      <alignment vertical="center"/>
    </xf>
    <xf numFmtId="38" fontId="15" fillId="11" borderId="1" xfId="1" applyFont="1" applyFill="1" applyBorder="1" applyAlignment="1">
      <alignment horizontal="center" vertical="center"/>
    </xf>
    <xf numFmtId="0" fontId="19" fillId="7" borderId="1" xfId="0" applyFont="1" applyFill="1" applyBorder="1" applyAlignment="1">
      <alignment horizontal="center" vertical="center"/>
    </xf>
    <xf numFmtId="0" fontId="29" fillId="0" borderId="0" xfId="4" applyFont="1"/>
    <xf numFmtId="0" fontId="29" fillId="0" borderId="0" xfId="4" applyFont="1" applyAlignment="1">
      <alignment horizontal="center"/>
    </xf>
    <xf numFmtId="0" fontId="29" fillId="15" borderId="0" xfId="4" applyFont="1" applyFill="1" applyAlignment="1">
      <alignment vertical="center"/>
    </xf>
    <xf numFmtId="5" fontId="29" fillId="0" borderId="1" xfId="4" applyNumberFormat="1" applyFont="1" applyBorder="1" applyAlignment="1">
      <alignment vertical="center"/>
    </xf>
    <xf numFmtId="0" fontId="29" fillId="15" borderId="16" xfId="4" applyFont="1" applyFill="1" applyBorder="1"/>
    <xf numFmtId="0" fontId="29" fillId="15" borderId="0" xfId="4" applyFont="1" applyFill="1"/>
    <xf numFmtId="0" fontId="29" fillId="15" borderId="0" xfId="4" applyFont="1" applyFill="1" applyAlignment="1">
      <alignment horizontal="center"/>
    </xf>
    <xf numFmtId="0" fontId="29" fillId="15" borderId="0" xfId="4" applyFont="1" applyFill="1" applyAlignment="1">
      <alignment horizontal="left" vertical="center"/>
    </xf>
    <xf numFmtId="5" fontId="29" fillId="16" borderId="1" xfId="4" applyNumberFormat="1" applyFont="1" applyFill="1" applyBorder="1" applyAlignment="1">
      <alignment vertical="center"/>
    </xf>
    <xf numFmtId="0" fontId="29" fillId="15" borderId="15" xfId="4" applyFont="1" applyFill="1" applyBorder="1"/>
    <xf numFmtId="0" fontId="29" fillId="9" borderId="1" xfId="4" applyFont="1" applyFill="1" applyBorder="1" applyAlignment="1">
      <alignment horizontal="center" vertical="center" wrapText="1"/>
    </xf>
    <xf numFmtId="0" fontId="29" fillId="15" borderId="3" xfId="4" applyFont="1" applyFill="1" applyBorder="1"/>
    <xf numFmtId="0" fontId="29" fillId="15" borderId="9" xfId="4" applyFont="1" applyFill="1" applyBorder="1"/>
    <xf numFmtId="0" fontId="29" fillId="15" borderId="8" xfId="4" applyFont="1" applyFill="1" applyBorder="1"/>
    <xf numFmtId="0" fontId="29" fillId="15" borderId="7" xfId="4" applyFont="1" applyFill="1" applyBorder="1"/>
    <xf numFmtId="5" fontId="31" fillId="0" borderId="1" xfId="4" applyNumberFormat="1" applyFont="1" applyBorder="1" applyAlignment="1">
      <alignment vertical="center"/>
    </xf>
    <xf numFmtId="0" fontId="32" fillId="9" borderId="1" xfId="4" applyFont="1" applyFill="1" applyBorder="1" applyAlignment="1">
      <alignment horizontal="center" vertical="center" wrapText="1"/>
    </xf>
    <xf numFmtId="0" fontId="29" fillId="15" borderId="14" xfId="4" applyFont="1" applyFill="1" applyBorder="1"/>
    <xf numFmtId="0" fontId="29" fillId="15" borderId="2" xfId="4" applyFont="1" applyFill="1" applyBorder="1"/>
    <xf numFmtId="0" fontId="29" fillId="15" borderId="11" xfId="4" applyFont="1" applyFill="1" applyBorder="1"/>
    <xf numFmtId="5" fontId="29" fillId="6" borderId="1" xfId="4" applyNumberFormat="1" applyFont="1" applyFill="1" applyBorder="1" applyAlignment="1">
      <alignment vertical="center"/>
    </xf>
    <xf numFmtId="0" fontId="33" fillId="15" borderId="3" xfId="4" applyFont="1" applyFill="1" applyBorder="1"/>
    <xf numFmtId="0" fontId="33" fillId="15" borderId="9" xfId="4" applyFont="1" applyFill="1" applyBorder="1"/>
    <xf numFmtId="0" fontId="33" fillId="15" borderId="8" xfId="4" applyFont="1" applyFill="1" applyBorder="1"/>
    <xf numFmtId="0" fontId="33" fillId="15" borderId="14" xfId="4" applyFont="1" applyFill="1" applyBorder="1"/>
    <xf numFmtId="0" fontId="31" fillId="9" borderId="1" xfId="4" applyFont="1" applyFill="1" applyBorder="1" applyAlignment="1">
      <alignment horizontal="center" vertical="center" wrapText="1"/>
    </xf>
    <xf numFmtId="0" fontId="32" fillId="9" borderId="1" xfId="4" applyFont="1" applyFill="1" applyBorder="1" applyAlignment="1">
      <alignment horizontal="center" vertical="center"/>
    </xf>
    <xf numFmtId="5" fontId="32" fillId="0" borderId="1" xfId="4" applyNumberFormat="1" applyFont="1" applyBorder="1" applyAlignment="1">
      <alignment vertical="center"/>
    </xf>
    <xf numFmtId="0" fontId="29" fillId="9" borderId="1" xfId="4" applyFont="1" applyFill="1" applyBorder="1" applyAlignment="1">
      <alignment horizontal="center" vertical="center"/>
    </xf>
    <xf numFmtId="5" fontId="34" fillId="0" borderId="1" xfId="4" applyNumberFormat="1" applyFont="1" applyBorder="1" applyAlignment="1">
      <alignment vertical="center"/>
    </xf>
    <xf numFmtId="0" fontId="29" fillId="6" borderId="0" xfId="4" applyFont="1" applyFill="1"/>
    <xf numFmtId="0" fontId="29" fillId="6" borderId="0" xfId="4" applyFont="1" applyFill="1" applyAlignment="1">
      <alignment horizontal="center"/>
    </xf>
    <xf numFmtId="0" fontId="29" fillId="15" borderId="0" xfId="4" applyFont="1" applyFill="1" applyAlignment="1">
      <alignment horizontal="left"/>
    </xf>
    <xf numFmtId="5" fontId="29" fillId="15" borderId="0" xfId="4" applyNumberFormat="1" applyFont="1" applyFill="1" applyAlignment="1">
      <alignment vertical="center"/>
    </xf>
    <xf numFmtId="0" fontId="29" fillId="15" borderId="10" xfId="4" applyFont="1" applyFill="1" applyBorder="1"/>
    <xf numFmtId="178" fontId="35" fillId="0" borderId="1" xfId="4" applyNumberFormat="1" applyFont="1" applyBorder="1" applyAlignment="1">
      <alignment vertical="center"/>
    </xf>
    <xf numFmtId="0" fontId="29" fillId="17" borderId="1" xfId="4" applyFont="1" applyFill="1" applyBorder="1" applyAlignment="1">
      <alignment horizontal="center" vertical="center"/>
    </xf>
    <xf numFmtId="5" fontId="36" fillId="0" borderId="0" xfId="4" applyNumberFormat="1" applyFont="1" applyAlignment="1">
      <alignment vertical="top"/>
    </xf>
    <xf numFmtId="0" fontId="36" fillId="0" borderId="0" xfId="4" applyFont="1" applyAlignment="1">
      <alignment horizontal="right" vertical="top"/>
    </xf>
    <xf numFmtId="5" fontId="29" fillId="11" borderId="1" xfId="4" applyNumberFormat="1" applyFont="1" applyFill="1" applyBorder="1" applyAlignment="1">
      <alignment vertical="center"/>
    </xf>
    <xf numFmtId="0" fontId="29" fillId="0" borderId="0" xfId="4" applyFont="1" applyAlignment="1">
      <alignment vertical="top"/>
    </xf>
    <xf numFmtId="0" fontId="37" fillId="0" borderId="0" xfId="4" applyFont="1" applyAlignment="1">
      <alignment horizontal="left" vertical="top"/>
    </xf>
    <xf numFmtId="0" fontId="29" fillId="13" borderId="1" xfId="4" applyFont="1" applyFill="1" applyBorder="1" applyAlignment="1">
      <alignment horizontal="center" vertical="center"/>
    </xf>
    <xf numFmtId="0" fontId="29" fillId="0" borderId="16" xfId="4" applyFont="1" applyBorder="1"/>
    <xf numFmtId="0" fontId="37" fillId="0" borderId="0" xfId="4" applyFont="1" applyAlignment="1">
      <alignment horizontal="left"/>
    </xf>
    <xf numFmtId="0" fontId="29" fillId="15" borderId="0" xfId="4" applyFont="1" applyFill="1" applyAlignment="1">
      <alignment horizontal="center" vertical="top"/>
    </xf>
    <xf numFmtId="5" fontId="32" fillId="0" borderId="1" xfId="4" applyNumberFormat="1" applyFont="1" applyBorder="1" applyAlignment="1">
      <alignment horizontal="right" vertical="center"/>
    </xf>
    <xf numFmtId="5" fontId="29" fillId="0" borderId="0" xfId="4" applyNumberFormat="1" applyFont="1"/>
    <xf numFmtId="5" fontId="29" fillId="0" borderId="0" xfId="4" applyNumberFormat="1" applyFont="1" applyAlignment="1">
      <alignment horizontal="center"/>
    </xf>
    <xf numFmtId="0" fontId="32" fillId="15" borderId="0" xfId="4" applyFont="1" applyFill="1" applyAlignment="1">
      <alignment horizontal="center"/>
    </xf>
    <xf numFmtId="0" fontId="32" fillId="15" borderId="0" xfId="4" applyFont="1" applyFill="1" applyAlignment="1">
      <alignment horizontal="right"/>
    </xf>
    <xf numFmtId="0" fontId="38" fillId="0" borderId="0" xfId="4" applyFont="1" applyAlignment="1">
      <alignment horizontal="left" vertical="top"/>
    </xf>
    <xf numFmtId="38" fontId="0" fillId="0" borderId="0" xfId="0" applyNumberFormat="1">
      <alignment vertical="center"/>
    </xf>
    <xf numFmtId="0" fontId="0" fillId="18" borderId="0" xfId="0" applyFill="1" applyAlignment="1">
      <alignment horizontal="center" vertical="center"/>
    </xf>
    <xf numFmtId="0" fontId="27" fillId="0" borderId="5" xfId="0" applyFont="1" applyBorder="1" applyAlignment="1">
      <alignment horizontal="left" vertical="center" indent="1"/>
    </xf>
    <xf numFmtId="0" fontId="19" fillId="11" borderId="1" xfId="0" applyFont="1" applyFill="1" applyBorder="1" applyAlignment="1">
      <alignment horizontal="left" vertical="center"/>
    </xf>
    <xf numFmtId="38" fontId="4" fillId="0" borderId="1" xfId="1" applyFont="1" applyBorder="1" applyAlignment="1">
      <alignment horizontal="center" vertical="center"/>
    </xf>
    <xf numFmtId="38" fontId="0" fillId="0" borderId="1" xfId="1" applyFont="1" applyFill="1" applyBorder="1" applyAlignment="1">
      <alignment horizontal="center" vertical="center"/>
    </xf>
    <xf numFmtId="38" fontId="14" fillId="0" borderId="1" xfId="1" applyFont="1" applyFill="1" applyBorder="1" applyAlignment="1">
      <alignment horizontal="center" vertical="center"/>
    </xf>
    <xf numFmtId="0" fontId="14" fillId="0" borderId="1" xfId="1" applyNumberFormat="1" applyFont="1" applyFill="1" applyBorder="1" applyAlignment="1">
      <alignment horizontal="center" vertical="center"/>
    </xf>
    <xf numFmtId="38" fontId="0" fillId="2" borderId="1" xfId="1" applyFont="1" applyFill="1" applyBorder="1" applyAlignment="1">
      <alignment horizontal="right" vertical="center"/>
    </xf>
    <xf numFmtId="38" fontId="4" fillId="0" borderId="1" xfId="1" applyFont="1" applyFill="1" applyBorder="1" applyAlignment="1">
      <alignment horizontal="left" vertical="center"/>
    </xf>
    <xf numFmtId="0" fontId="0" fillId="0" borderId="1" xfId="1" applyNumberFormat="1" applyFont="1" applyFill="1" applyBorder="1" applyAlignment="1">
      <alignment horizontal="center" vertical="center"/>
    </xf>
    <xf numFmtId="38" fontId="4" fillId="0" borderId="1" xfId="1" applyFont="1" applyFill="1" applyBorder="1">
      <alignment vertical="center"/>
    </xf>
    <xf numFmtId="38" fontId="0" fillId="15" borderId="1" xfId="1" applyFont="1" applyFill="1" applyBorder="1" applyAlignment="1">
      <alignment horizontal="right" vertical="center"/>
    </xf>
    <xf numFmtId="179" fontId="0" fillId="0" borderId="0" xfId="0" applyNumberFormat="1">
      <alignment vertical="center"/>
    </xf>
    <xf numFmtId="0" fontId="14" fillId="0" borderId="12" xfId="0" applyFont="1" applyBorder="1" applyAlignment="1">
      <alignment horizontal="left" vertical="center"/>
    </xf>
    <xf numFmtId="0" fontId="14" fillId="0" borderId="13" xfId="0" applyFont="1" applyBorder="1" applyAlignment="1">
      <alignment horizontal="left" vertical="center"/>
    </xf>
    <xf numFmtId="0" fontId="14" fillId="0" borderId="11" xfId="0" applyFont="1" applyBorder="1" applyAlignment="1">
      <alignment horizontal="left" vertical="center"/>
    </xf>
    <xf numFmtId="0" fontId="0" fillId="0" borderId="1" xfId="0" applyBorder="1">
      <alignment vertical="center"/>
    </xf>
    <xf numFmtId="179" fontId="0" fillId="0" borderId="1" xfId="0" applyNumberFormat="1" applyBorder="1">
      <alignment vertical="center"/>
    </xf>
    <xf numFmtId="176" fontId="0" fillId="0" borderId="1" xfId="0" applyNumberFormat="1" applyBorder="1">
      <alignment vertical="center"/>
    </xf>
    <xf numFmtId="0" fontId="14" fillId="0" borderId="1" xfId="0" applyFont="1" applyBorder="1">
      <alignment vertical="center"/>
    </xf>
    <xf numFmtId="0" fontId="0" fillId="0" borderId="1" xfId="0" applyBorder="1" applyAlignment="1">
      <alignment horizontal="left" vertical="center" indent="1"/>
    </xf>
    <xf numFmtId="178" fontId="0" fillId="0" borderId="1" xfId="0" quotePrefix="1" applyNumberFormat="1" applyBorder="1" applyAlignment="1">
      <alignment horizontal="center" vertical="center"/>
    </xf>
    <xf numFmtId="0" fontId="15" fillId="0" borderId="0" xfId="0" applyFont="1" applyAlignment="1">
      <alignment horizontal="left" vertical="center"/>
    </xf>
    <xf numFmtId="180" fontId="0" fillId="0" borderId="1" xfId="0" applyNumberFormat="1" applyBorder="1">
      <alignment vertical="center"/>
    </xf>
    <xf numFmtId="180" fontId="0" fillId="0" borderId="1" xfId="0" quotePrefix="1" applyNumberFormat="1" applyBorder="1" applyAlignment="1">
      <alignment horizontal="center" vertical="center"/>
    </xf>
    <xf numFmtId="0" fontId="26" fillId="0" borderId="0" xfId="0" applyFont="1" applyAlignment="1">
      <alignment horizontal="left" vertical="center"/>
    </xf>
    <xf numFmtId="179" fontId="3" fillId="0" borderId="0" xfId="0" applyNumberFormat="1" applyFont="1">
      <alignment vertical="center"/>
    </xf>
    <xf numFmtId="176" fontId="0" fillId="0" borderId="0" xfId="0" applyNumberFormat="1">
      <alignment vertical="center"/>
    </xf>
    <xf numFmtId="180" fontId="0" fillId="0" borderId="0" xfId="0" quotePrefix="1" applyNumberFormat="1" applyAlignment="1">
      <alignment horizontal="center" vertical="center"/>
    </xf>
    <xf numFmtId="178" fontId="0" fillId="0" borderId="0" xfId="0" quotePrefix="1" applyNumberFormat="1" applyAlignment="1">
      <alignment horizontal="center" vertical="center"/>
    </xf>
    <xf numFmtId="0" fontId="39" fillId="0" borderId="0" xfId="0" applyFont="1">
      <alignment vertical="center"/>
    </xf>
    <xf numFmtId="0" fontId="3" fillId="0" borderId="0" xfId="0" applyFont="1">
      <alignment vertical="center"/>
    </xf>
    <xf numFmtId="0" fontId="0" fillId="19" borderId="1" xfId="0" applyFill="1" applyBorder="1">
      <alignment vertical="center"/>
    </xf>
    <xf numFmtId="179" fontId="3" fillId="19" borderId="1" xfId="0" applyNumberFormat="1" applyFont="1" applyFill="1" applyBorder="1">
      <alignment vertical="center"/>
    </xf>
    <xf numFmtId="0" fontId="3" fillId="19" borderId="1" xfId="0" applyFont="1" applyFill="1" applyBorder="1">
      <alignment vertical="center"/>
    </xf>
    <xf numFmtId="180" fontId="0" fillId="19" borderId="1" xfId="0" quotePrefix="1" applyNumberFormat="1" applyFill="1" applyBorder="1" applyAlignment="1">
      <alignment horizontal="center" vertical="center"/>
    </xf>
    <xf numFmtId="0" fontId="0" fillId="4" borderId="0" xfId="0" applyFill="1" applyAlignment="1">
      <alignment horizontal="center" vertical="center"/>
    </xf>
    <xf numFmtId="0" fontId="27" fillId="0" borderId="0" xfId="0" applyFont="1">
      <alignment vertical="center"/>
    </xf>
    <xf numFmtId="38" fontId="19" fillId="0" borderId="0" xfId="0" applyNumberFormat="1" applyFont="1" applyAlignment="1">
      <alignment horizontal="left" vertical="center"/>
    </xf>
    <xf numFmtId="38" fontId="15" fillId="11" borderId="1" xfId="1" applyFont="1" applyFill="1" applyBorder="1" applyAlignment="1">
      <alignment vertical="center"/>
    </xf>
    <xf numFmtId="0" fontId="19" fillId="4" borderId="1" xfId="0" applyFont="1" applyFill="1" applyBorder="1" applyAlignment="1">
      <alignment horizontal="left" vertical="center"/>
    </xf>
    <xf numFmtId="38" fontId="15" fillId="4" borderId="1" xfId="1" applyFont="1" applyFill="1" applyBorder="1" applyAlignment="1">
      <alignment vertical="center"/>
    </xf>
    <xf numFmtId="38" fontId="15" fillId="0" borderId="9" xfId="1" applyFont="1" applyFill="1" applyBorder="1" applyAlignment="1">
      <alignment horizontal="right" vertical="center"/>
    </xf>
    <xf numFmtId="0" fontId="29" fillId="6" borderId="0" xfId="4" applyFont="1" applyFill="1" applyAlignment="1">
      <alignment horizontal="right"/>
    </xf>
    <xf numFmtId="0" fontId="29" fillId="9" borderId="1" xfId="4" applyFont="1" applyFill="1" applyBorder="1" applyAlignment="1">
      <alignment horizontal="left" vertical="center"/>
    </xf>
    <xf numFmtId="5" fontId="29" fillId="12" borderId="1" xfId="4" applyNumberFormat="1" applyFont="1" applyFill="1" applyBorder="1" applyAlignment="1">
      <alignment vertical="center"/>
    </xf>
    <xf numFmtId="180" fontId="40" fillId="0" borderId="0" xfId="4" applyNumberFormat="1" applyFont="1"/>
    <xf numFmtId="180" fontId="0" fillId="0" borderId="0" xfId="0" applyNumberFormat="1">
      <alignment vertical="center"/>
    </xf>
    <xf numFmtId="0" fontId="42" fillId="0" borderId="1" xfId="0" applyFont="1" applyBorder="1" applyAlignment="1">
      <alignment horizontal="center" vertical="center"/>
    </xf>
    <xf numFmtId="38" fontId="42" fillId="0" borderId="1" xfId="1" applyFont="1" applyFill="1" applyBorder="1" applyAlignment="1">
      <alignment horizontal="center" vertical="center"/>
    </xf>
    <xf numFmtId="0" fontId="42" fillId="0" borderId="1" xfId="0" applyFont="1" applyBorder="1" applyAlignment="1">
      <alignment horizontal="left" vertical="center"/>
    </xf>
    <xf numFmtId="38" fontId="42" fillId="0" borderId="1" xfId="1" applyFont="1" applyFill="1" applyBorder="1" applyAlignment="1">
      <alignment vertical="center"/>
    </xf>
    <xf numFmtId="0" fontId="22" fillId="0" borderId="0" xfId="0" applyFont="1" applyAlignment="1">
      <alignment horizontal="center" vertical="center"/>
    </xf>
    <xf numFmtId="38" fontId="22" fillId="0" borderId="0" xfId="0" applyNumberFormat="1" applyFont="1" applyAlignment="1">
      <alignment horizontal="center" vertical="center"/>
    </xf>
    <xf numFmtId="38" fontId="42" fillId="11" borderId="1" xfId="1" applyFont="1" applyFill="1" applyBorder="1" applyAlignment="1">
      <alignment horizontal="center" vertical="center"/>
    </xf>
    <xf numFmtId="0" fontId="42" fillId="11" borderId="1" xfId="0" applyFont="1" applyFill="1" applyBorder="1" applyAlignment="1">
      <alignment horizontal="left" vertical="center"/>
    </xf>
    <xf numFmtId="38" fontId="42" fillId="11" borderId="1" xfId="1" applyFont="1" applyFill="1" applyBorder="1">
      <alignment vertical="center"/>
    </xf>
    <xf numFmtId="38" fontId="19" fillId="0" borderId="1" xfId="1" applyFont="1" applyBorder="1">
      <alignment vertical="center"/>
    </xf>
    <xf numFmtId="38" fontId="15" fillId="3" borderId="1" xfId="1" applyFont="1" applyFill="1" applyBorder="1" applyAlignment="1">
      <alignment horizontal="center" vertical="center"/>
    </xf>
    <xf numFmtId="0" fontId="15" fillId="3" borderId="1" xfId="0" applyFont="1" applyFill="1" applyBorder="1" applyAlignment="1">
      <alignment horizontal="left" vertical="center"/>
    </xf>
    <xf numFmtId="38" fontId="19" fillId="0" borderId="1" xfId="1" applyFont="1" applyFill="1" applyBorder="1" applyAlignment="1">
      <alignment vertical="center"/>
    </xf>
    <xf numFmtId="38" fontId="23" fillId="0" borderId="0" xfId="0" applyNumberFormat="1" applyFont="1" applyAlignment="1">
      <alignment horizontal="center" vertical="center"/>
    </xf>
    <xf numFmtId="38" fontId="19" fillId="0" borderId="1" xfId="1" applyFont="1" applyFill="1" applyBorder="1" applyAlignment="1">
      <alignment horizontal="left" vertical="center"/>
    </xf>
    <xf numFmtId="38" fontId="19" fillId="0" borderId="1" xfId="1" applyFont="1" applyFill="1" applyBorder="1">
      <alignment vertical="center"/>
    </xf>
    <xf numFmtId="38" fontId="19" fillId="11" borderId="1" xfId="1" applyFont="1" applyFill="1" applyBorder="1" applyAlignment="1">
      <alignment horizontal="center" vertical="center"/>
    </xf>
    <xf numFmtId="38" fontId="23" fillId="0" borderId="0" xfId="0" applyNumberFormat="1" applyFont="1" applyAlignment="1">
      <alignment horizontal="left" vertical="center" indent="1"/>
    </xf>
    <xf numFmtId="0" fontId="23" fillId="0" borderId="0" xfId="0" applyFont="1" applyAlignment="1">
      <alignment horizontal="left" vertical="center" indent="1"/>
    </xf>
    <xf numFmtId="38" fontId="15" fillId="0" borderId="9" xfId="1" applyFont="1" applyFill="1" applyBorder="1" applyAlignment="1">
      <alignment horizontal="left" vertical="center" indent="2"/>
    </xf>
    <xf numFmtId="38" fontId="19" fillId="0" borderId="1" xfId="1" applyFont="1" applyFill="1" applyBorder="1" applyAlignment="1">
      <alignment horizontal="right" vertical="center"/>
    </xf>
    <xf numFmtId="38" fontId="19" fillId="11" borderId="1" xfId="1" applyFont="1" applyFill="1" applyBorder="1">
      <alignment vertical="center"/>
    </xf>
    <xf numFmtId="0" fontId="5" fillId="0" borderId="1" xfId="0" applyFont="1" applyBorder="1">
      <alignment vertical="center"/>
    </xf>
    <xf numFmtId="179" fontId="5" fillId="0" borderId="1" xfId="0" applyNumberFormat="1" applyFont="1" applyBorder="1">
      <alignment vertical="center"/>
    </xf>
    <xf numFmtId="176" fontId="5" fillId="0" borderId="1" xfId="0" applyNumberFormat="1" applyFont="1" applyBorder="1">
      <alignment vertical="center"/>
    </xf>
    <xf numFmtId="176" fontId="5" fillId="0" borderId="0" xfId="0" applyNumberFormat="1" applyFont="1">
      <alignment vertical="center"/>
    </xf>
    <xf numFmtId="180" fontId="5" fillId="0" borderId="1" xfId="0" quotePrefix="1" applyNumberFormat="1" applyFont="1" applyBorder="1" applyAlignment="1">
      <alignment horizontal="center" vertical="center"/>
    </xf>
    <xf numFmtId="178" fontId="5" fillId="0" borderId="1" xfId="0" quotePrefix="1" applyNumberFormat="1" applyFont="1" applyBorder="1" applyAlignment="1">
      <alignment horizontal="center" vertical="center"/>
    </xf>
    <xf numFmtId="180" fontId="44" fillId="0" borderId="1" xfId="0" applyNumberFormat="1" applyFont="1" applyBorder="1">
      <alignment vertical="center"/>
    </xf>
    <xf numFmtId="0" fontId="5" fillId="0" borderId="1" xfId="0" applyFont="1" applyBorder="1" applyAlignment="1">
      <alignment vertical="top" wrapText="1"/>
    </xf>
    <xf numFmtId="0" fontId="25" fillId="0" borderId="1" xfId="0" applyFont="1" applyBorder="1">
      <alignment vertical="center"/>
    </xf>
    <xf numFmtId="179" fontId="43" fillId="0" borderId="1" xfId="0" applyNumberFormat="1" applyFont="1" applyBorder="1">
      <alignment vertical="center"/>
    </xf>
    <xf numFmtId="0" fontId="5" fillId="11" borderId="1" xfId="0" applyFont="1" applyFill="1" applyBorder="1">
      <alignment vertical="center"/>
    </xf>
    <xf numFmtId="179" fontId="5" fillId="11" borderId="1" xfId="0" applyNumberFormat="1" applyFont="1" applyFill="1" applyBorder="1">
      <alignment vertical="center"/>
    </xf>
    <xf numFmtId="176" fontId="5" fillId="11" borderId="1" xfId="0" applyNumberFormat="1" applyFont="1" applyFill="1" applyBorder="1">
      <alignment vertical="center"/>
    </xf>
    <xf numFmtId="180" fontId="5" fillId="11" borderId="1" xfId="0" quotePrefix="1" applyNumberFormat="1" applyFont="1" applyFill="1" applyBorder="1" applyAlignment="1">
      <alignment horizontal="center" vertical="center"/>
    </xf>
    <xf numFmtId="178" fontId="5" fillId="11" borderId="1" xfId="0" quotePrefix="1" applyNumberFormat="1" applyFont="1" applyFill="1" applyBorder="1" applyAlignment="1">
      <alignment horizontal="center" vertical="center"/>
    </xf>
    <xf numFmtId="179" fontId="43" fillId="0" borderId="0" xfId="0" applyNumberFormat="1" applyFont="1">
      <alignment vertical="center"/>
    </xf>
    <xf numFmtId="179" fontId="5" fillId="0" borderId="0" xfId="0" applyNumberFormat="1" applyFont="1">
      <alignment vertical="center"/>
    </xf>
    <xf numFmtId="180" fontId="44" fillId="0" borderId="17" xfId="0" applyNumberFormat="1" applyFont="1" applyBorder="1">
      <alignment vertical="center"/>
    </xf>
    <xf numFmtId="178" fontId="5" fillId="0" borderId="0" xfId="0" quotePrefix="1" applyNumberFormat="1" applyFont="1" applyAlignment="1">
      <alignment horizontal="center" vertical="center"/>
    </xf>
    <xf numFmtId="180" fontId="45" fillId="0" borderId="0" xfId="0" applyNumberFormat="1" applyFont="1">
      <alignment vertical="center"/>
    </xf>
    <xf numFmtId="180" fontId="5" fillId="0" borderId="0" xfId="0" applyNumberFormat="1" applyFont="1">
      <alignment vertical="center"/>
    </xf>
    <xf numFmtId="0" fontId="25" fillId="0" borderId="0" xfId="0" applyFont="1" applyAlignment="1">
      <alignment horizontal="left" vertical="center"/>
    </xf>
    <xf numFmtId="180" fontId="5" fillId="0" borderId="0" xfId="0" quotePrefix="1" applyNumberFormat="1" applyFont="1" applyAlignment="1">
      <alignment horizontal="center" vertical="center"/>
    </xf>
    <xf numFmtId="180" fontId="45" fillId="0" borderId="1" xfId="0" applyNumberFormat="1" applyFont="1" applyBorder="1">
      <alignment vertical="center"/>
    </xf>
    <xf numFmtId="0" fontId="5" fillId="19" borderId="1" xfId="0" applyFont="1" applyFill="1" applyBorder="1" applyAlignment="1">
      <alignment horizontal="left" vertical="center" indent="1"/>
    </xf>
    <xf numFmtId="179" fontId="43" fillId="19" borderId="1" xfId="0" applyNumberFormat="1" applyFont="1" applyFill="1" applyBorder="1">
      <alignment vertical="center"/>
    </xf>
    <xf numFmtId="38" fontId="5" fillId="19" borderId="1" xfId="0" applyNumberFormat="1" applyFont="1" applyFill="1" applyBorder="1">
      <alignment vertical="center"/>
    </xf>
    <xf numFmtId="180" fontId="5" fillId="19" borderId="1" xfId="0" quotePrefix="1" applyNumberFormat="1" applyFont="1" applyFill="1" applyBorder="1" applyAlignment="1">
      <alignment horizontal="center" vertical="center"/>
    </xf>
    <xf numFmtId="0" fontId="5" fillId="19" borderId="1" xfId="0" applyFont="1" applyFill="1" applyBorder="1">
      <alignment vertical="center"/>
    </xf>
    <xf numFmtId="0" fontId="43" fillId="19" borderId="1" xfId="0" applyFont="1" applyFill="1" applyBorder="1" applyAlignment="1">
      <alignment horizontal="left" vertical="center" indent="1"/>
    </xf>
    <xf numFmtId="179" fontId="25" fillId="0" borderId="1" xfId="0" applyNumberFormat="1" applyFont="1" applyBorder="1">
      <alignment vertical="center"/>
    </xf>
    <xf numFmtId="180" fontId="5" fillId="0" borderId="1" xfId="0" applyNumberFormat="1" applyFont="1" applyBorder="1">
      <alignment vertical="center"/>
    </xf>
    <xf numFmtId="0" fontId="25" fillId="0" borderId="1" xfId="0" applyFont="1" applyBorder="1" applyAlignment="1">
      <alignment horizontal="left" vertical="center"/>
    </xf>
    <xf numFmtId="0" fontId="43" fillId="0" borderId="1" xfId="0" applyFont="1" applyBorder="1">
      <alignment vertical="center"/>
    </xf>
    <xf numFmtId="0" fontId="25" fillId="11" borderId="1" xfId="0" applyFont="1" applyFill="1" applyBorder="1" applyAlignment="1">
      <alignment horizontal="left" vertical="center"/>
    </xf>
    <xf numFmtId="5" fontId="43" fillId="0" borderId="0" xfId="0" applyNumberFormat="1" applyFont="1">
      <alignment vertical="center"/>
    </xf>
    <xf numFmtId="0" fontId="46" fillId="0" borderId="0" xfId="0" applyFont="1">
      <alignment vertical="center"/>
    </xf>
    <xf numFmtId="0" fontId="5" fillId="4" borderId="1" xfId="0" applyFont="1" applyFill="1" applyBorder="1" applyAlignment="1">
      <alignment horizontal="center" vertical="center"/>
    </xf>
    <xf numFmtId="0" fontId="5" fillId="18" borderId="1" xfId="0" applyFont="1" applyFill="1" applyBorder="1" applyAlignment="1">
      <alignment horizontal="center" vertical="center"/>
    </xf>
    <xf numFmtId="0" fontId="19" fillId="5" borderId="1" xfId="0" applyFont="1" applyFill="1" applyBorder="1" applyAlignment="1">
      <alignment horizontal="center" vertical="center"/>
    </xf>
    <xf numFmtId="0" fontId="15" fillId="0" borderId="1" xfId="0" quotePrefix="1" applyFont="1" applyBorder="1" applyAlignment="1">
      <alignment horizontal="center" vertical="center"/>
    </xf>
    <xf numFmtId="38" fontId="15" fillId="3" borderId="1" xfId="1" applyFont="1" applyFill="1" applyBorder="1" applyAlignment="1">
      <alignment horizontal="left" vertical="center"/>
    </xf>
    <xf numFmtId="0" fontId="19" fillId="11" borderId="1" xfId="0" applyFont="1" applyFill="1" applyBorder="1" applyAlignment="1">
      <alignment horizontal="center" vertical="center"/>
    </xf>
    <xf numFmtId="38" fontId="19" fillId="11" borderId="1" xfId="1" applyFont="1" applyFill="1" applyBorder="1" applyAlignment="1">
      <alignment horizontal="right" vertical="center"/>
    </xf>
    <xf numFmtId="0" fontId="15" fillId="0" borderId="5" xfId="0" applyFont="1" applyBorder="1" applyAlignment="1">
      <alignment horizontal="left" vertical="center"/>
    </xf>
    <xf numFmtId="0" fontId="23" fillId="0" borderId="1" xfId="0" applyFont="1" applyBorder="1">
      <alignment vertical="center"/>
    </xf>
    <xf numFmtId="0" fontId="15" fillId="0" borderId="17" xfId="0" applyFont="1" applyBorder="1" applyAlignment="1">
      <alignment horizontal="center" vertical="center"/>
    </xf>
    <xf numFmtId="0" fontId="0" fillId="0" borderId="17" xfId="0" applyBorder="1">
      <alignment vertical="center"/>
    </xf>
    <xf numFmtId="0" fontId="15" fillId="0" borderId="0" xfId="0" applyFont="1" applyAlignment="1">
      <alignment horizontal="center" vertical="center"/>
    </xf>
    <xf numFmtId="0" fontId="15" fillId="18" borderId="1" xfId="0" applyFont="1" applyFill="1" applyBorder="1" applyAlignment="1">
      <alignment horizontal="center" vertical="center"/>
    </xf>
    <xf numFmtId="0" fontId="0" fillId="18" borderId="1" xfId="0" applyFill="1" applyBorder="1">
      <alignment vertical="center"/>
    </xf>
    <xf numFmtId="0" fontId="19" fillId="4" borderId="3" xfId="0" applyFont="1" applyFill="1" applyBorder="1" applyAlignment="1">
      <alignment horizontal="center" vertical="center"/>
    </xf>
    <xf numFmtId="0" fontId="19" fillId="4" borderId="1" xfId="0" applyFont="1" applyFill="1" applyBorder="1" applyAlignment="1">
      <alignment horizontal="center" vertical="center"/>
    </xf>
    <xf numFmtId="0" fontId="19" fillId="4" borderId="5" xfId="0" applyFont="1" applyFill="1" applyBorder="1" applyAlignment="1">
      <alignment horizontal="center" vertical="center"/>
    </xf>
    <xf numFmtId="0" fontId="19" fillId="4" borderId="9" xfId="0" applyFont="1" applyFill="1" applyBorder="1" applyAlignment="1">
      <alignment horizontal="right" vertical="center"/>
    </xf>
    <xf numFmtId="38" fontId="19" fillId="4" borderId="11" xfId="1" applyFont="1" applyFill="1" applyBorder="1" applyAlignment="1">
      <alignment horizontal="center" vertical="center"/>
    </xf>
    <xf numFmtId="38" fontId="15" fillId="11" borderId="11" xfId="1" applyFont="1" applyFill="1" applyBorder="1" applyAlignment="1">
      <alignment horizontal="center" vertical="center"/>
    </xf>
    <xf numFmtId="38" fontId="15" fillId="0" borderId="5" xfId="1" applyFont="1" applyFill="1" applyBorder="1" applyAlignment="1">
      <alignment vertical="center"/>
    </xf>
    <xf numFmtId="38" fontId="19" fillId="0" borderId="0" xfId="1" applyFont="1" applyFill="1" applyBorder="1" applyAlignment="1">
      <alignment horizontal="center" vertical="center"/>
    </xf>
    <xf numFmtId="38" fontId="15" fillId="11" borderId="9" xfId="1" applyFont="1" applyFill="1" applyBorder="1" applyAlignment="1">
      <alignment horizontal="center" vertical="center"/>
    </xf>
    <xf numFmtId="38" fontId="15" fillId="0" borderId="9" xfId="1" applyFont="1" applyFill="1" applyBorder="1" applyAlignment="1">
      <alignment vertical="center"/>
    </xf>
    <xf numFmtId="38" fontId="19" fillId="0" borderId="9" xfId="1" applyFont="1" applyFill="1" applyBorder="1" applyAlignment="1">
      <alignment horizontal="center" vertical="center"/>
    </xf>
    <xf numFmtId="0" fontId="15" fillId="3" borderId="1" xfId="0" applyFont="1" applyFill="1" applyBorder="1" applyAlignment="1">
      <alignment horizontal="center" vertical="center"/>
    </xf>
    <xf numFmtId="0" fontId="15" fillId="20" borderId="1" xfId="0" applyFont="1" applyFill="1" applyBorder="1" applyAlignment="1">
      <alignment horizontal="center" vertical="center"/>
    </xf>
    <xf numFmtId="0" fontId="0" fillId="0" borderId="5" xfId="0" applyBorder="1" applyAlignment="1">
      <alignment horizontal="center" vertical="center"/>
    </xf>
    <xf numFmtId="0" fontId="19" fillId="4" borderId="1" xfId="0" applyFont="1" applyFill="1" applyBorder="1" applyAlignment="1">
      <alignment horizontal="right" vertical="center"/>
    </xf>
    <xf numFmtId="0" fontId="47" fillId="0" borderId="1" xfId="0" applyFont="1" applyBorder="1">
      <alignment vertical="center"/>
    </xf>
    <xf numFmtId="38" fontId="23" fillId="3" borderId="0" xfId="1" applyFont="1" applyFill="1" applyAlignment="1">
      <alignment horizontal="right" vertical="center"/>
    </xf>
    <xf numFmtId="38" fontId="15" fillId="3" borderId="5" xfId="1" applyFont="1" applyFill="1" applyBorder="1" applyAlignment="1">
      <alignment vertical="center"/>
    </xf>
    <xf numFmtId="38" fontId="23" fillId="0" borderId="0" xfId="1" applyFont="1" applyFill="1" applyAlignment="1">
      <alignment horizontal="left" vertical="center"/>
    </xf>
    <xf numFmtId="38" fontId="19" fillId="11" borderId="1" xfId="1" applyFont="1" applyFill="1" applyBorder="1" applyAlignment="1">
      <alignment vertical="center"/>
    </xf>
    <xf numFmtId="38" fontId="48" fillId="0" borderId="0" xfId="1" applyFont="1" applyFill="1" applyBorder="1" applyAlignment="1">
      <alignment horizontal="right" vertical="center"/>
    </xf>
    <xf numFmtId="38" fontId="49" fillId="0" borderId="0" xfId="1" applyFont="1" applyFill="1" applyBorder="1" applyAlignment="1">
      <alignment horizontal="right" vertical="center"/>
    </xf>
    <xf numFmtId="38" fontId="50" fillId="0" borderId="1" xfId="1" applyFont="1" applyFill="1" applyBorder="1" applyAlignment="1">
      <alignment horizontal="right" vertical="center"/>
    </xf>
    <xf numFmtId="38" fontId="51" fillId="0" borderId="0" xfId="1" applyFont="1" applyFill="1" applyBorder="1" applyAlignment="1">
      <alignment horizontal="right" vertical="center"/>
    </xf>
    <xf numFmtId="0" fontId="52" fillId="0" borderId="0" xfId="0" applyFont="1">
      <alignment vertical="center"/>
    </xf>
    <xf numFmtId="0" fontId="51" fillId="0" borderId="0" xfId="0" applyFont="1">
      <alignment vertical="center"/>
    </xf>
    <xf numFmtId="0" fontId="19" fillId="21" borderId="1" xfId="0" applyFont="1" applyFill="1" applyBorder="1" applyAlignment="1">
      <alignment horizontal="center" vertical="center"/>
    </xf>
    <xf numFmtId="0" fontId="53" fillId="0" borderId="0" xfId="0" applyFont="1">
      <alignment vertical="center"/>
    </xf>
    <xf numFmtId="0" fontId="53" fillId="0" borderId="0" xfId="0" applyFont="1" applyAlignment="1">
      <alignment horizontal="center" vertical="center"/>
    </xf>
    <xf numFmtId="0" fontId="53" fillId="0" borderId="1" xfId="0" applyFont="1" applyBorder="1">
      <alignment vertical="center"/>
    </xf>
    <xf numFmtId="0" fontId="53" fillId="0" borderId="1" xfId="0" applyFont="1" applyBorder="1" applyAlignment="1">
      <alignment horizontal="center" vertical="center"/>
    </xf>
    <xf numFmtId="0" fontId="27" fillId="0" borderId="1" xfId="0" applyFont="1" applyBorder="1">
      <alignment vertical="center"/>
    </xf>
    <xf numFmtId="0" fontId="53" fillId="0" borderId="1" xfId="0" applyFont="1" applyBorder="1" applyAlignment="1">
      <alignment vertical="center" wrapText="1"/>
    </xf>
    <xf numFmtId="0" fontId="42" fillId="11" borderId="1" xfId="0" applyFont="1" applyFill="1" applyBorder="1" applyAlignment="1">
      <alignment horizontal="center" vertical="center"/>
    </xf>
    <xf numFmtId="38" fontId="42" fillId="11" borderId="1" xfId="1" applyFont="1" applyFill="1" applyBorder="1" applyAlignment="1">
      <alignment horizontal="left" vertical="center"/>
    </xf>
    <xf numFmtId="38" fontId="42" fillId="11" borderId="1" xfId="1" applyFont="1" applyFill="1" applyBorder="1" applyAlignment="1">
      <alignment vertical="center"/>
    </xf>
    <xf numFmtId="0" fontId="43" fillId="0" borderId="2" xfId="0" applyFont="1" applyBorder="1" applyAlignment="1">
      <alignment horizontal="center" vertical="center"/>
    </xf>
    <xf numFmtId="0" fontId="29" fillId="13" borderId="1" xfId="4" applyFont="1" applyFill="1" applyBorder="1" applyAlignment="1">
      <alignment horizontal="center" vertical="center"/>
    </xf>
    <xf numFmtId="5" fontId="29" fillId="0" borderId="1" xfId="4" applyNumberFormat="1" applyFont="1" applyBorder="1" applyAlignment="1">
      <alignment horizontal="center" vertical="center"/>
    </xf>
    <xf numFmtId="0" fontId="29" fillId="9" borderId="1" xfId="4" applyFont="1" applyFill="1" applyBorder="1" applyAlignment="1">
      <alignment horizontal="center" vertical="center"/>
    </xf>
    <xf numFmtId="0" fontId="29" fillId="15" borderId="0" xfId="4" applyFont="1" applyFill="1" applyAlignment="1">
      <alignment horizontal="center"/>
    </xf>
    <xf numFmtId="0" fontId="0" fillId="0" borderId="1" xfId="0" applyBorder="1" applyAlignment="1">
      <alignment horizontal="center" vertical="center"/>
    </xf>
    <xf numFmtId="0" fontId="16" fillId="0" borderId="0" xfId="0" applyFont="1" applyAlignment="1">
      <alignment horizontal="center" vertical="center"/>
    </xf>
    <xf numFmtId="0" fontId="17" fillId="0" borderId="0" xfId="0" applyFont="1" applyAlignment="1">
      <alignment horizontal="center" vertical="center"/>
    </xf>
    <xf numFmtId="0" fontId="8" fillId="0" borderId="0" xfId="0" applyFont="1" applyAlignment="1">
      <alignment horizontal="center" vertical="center"/>
    </xf>
    <xf numFmtId="38" fontId="14" fillId="0" borderId="0" xfId="1" applyFont="1" applyFill="1" applyAlignment="1">
      <alignment horizontal="right" vertical="center"/>
    </xf>
    <xf numFmtId="38" fontId="14" fillId="0" borderId="0" xfId="1" applyFont="1" applyFill="1" applyAlignment="1">
      <alignment horizontal="center" vertical="center"/>
    </xf>
    <xf numFmtId="0" fontId="7" fillId="0" borderId="0" xfId="0" applyFont="1" applyAlignment="1">
      <alignment horizontal="center" vertical="center"/>
    </xf>
    <xf numFmtId="0" fontId="54" fillId="11" borderId="1" xfId="0" applyFont="1" applyFill="1" applyBorder="1" applyAlignment="1">
      <alignment horizontal="left" vertical="center"/>
    </xf>
    <xf numFmtId="0" fontId="19" fillId="0" borderId="1" xfId="0" applyFont="1" applyFill="1" applyBorder="1" applyAlignment="1">
      <alignment horizontal="center" vertical="center"/>
    </xf>
    <xf numFmtId="0" fontId="15" fillId="0" borderId="1" xfId="0" applyFont="1" applyFill="1" applyBorder="1" applyAlignment="1">
      <alignment horizontal="left" vertical="center"/>
    </xf>
    <xf numFmtId="0" fontId="19" fillId="0" borderId="1" xfId="0" applyFont="1" applyFill="1" applyBorder="1" applyAlignment="1">
      <alignment horizontal="left" vertical="center"/>
    </xf>
    <xf numFmtId="0" fontId="23" fillId="0" borderId="0" xfId="0" applyFont="1" applyFill="1" applyAlignment="1">
      <alignment horizontal="center" vertical="center"/>
    </xf>
    <xf numFmtId="38" fontId="23" fillId="0" borderId="0" xfId="0" applyNumberFormat="1" applyFont="1" applyFill="1" applyAlignment="1">
      <alignment horizontal="center" vertical="center"/>
    </xf>
    <xf numFmtId="0" fontId="19" fillId="0" borderId="3" xfId="0" applyFont="1" applyFill="1" applyBorder="1" applyAlignment="1">
      <alignment horizontal="center" vertical="center"/>
    </xf>
    <xf numFmtId="0" fontId="15" fillId="20" borderId="1" xfId="0" applyFont="1" applyFill="1" applyBorder="1" applyAlignment="1">
      <alignment horizontal="left" vertical="center"/>
    </xf>
    <xf numFmtId="38" fontId="15" fillId="20" borderId="1" xfId="1" applyFont="1" applyFill="1" applyBorder="1" applyAlignment="1">
      <alignment vertical="center"/>
    </xf>
    <xf numFmtId="38" fontId="15" fillId="20" borderId="1" xfId="1" applyFont="1" applyFill="1" applyBorder="1" applyAlignment="1">
      <alignment horizontal="center" vertical="center"/>
    </xf>
    <xf numFmtId="38" fontId="15" fillId="20" borderId="1" xfId="1" applyFont="1" applyFill="1" applyBorder="1" applyAlignment="1">
      <alignment horizontal="right" vertical="center"/>
    </xf>
    <xf numFmtId="0" fontId="15" fillId="6" borderId="1" xfId="0" applyFont="1" applyFill="1" applyBorder="1" applyAlignment="1">
      <alignment horizontal="center" vertical="center"/>
    </xf>
    <xf numFmtId="0" fontId="15" fillId="6" borderId="1" xfId="0" applyFont="1" applyFill="1" applyBorder="1" applyAlignment="1">
      <alignment horizontal="left" vertical="center"/>
    </xf>
    <xf numFmtId="38" fontId="15" fillId="6" borderId="1" xfId="1" applyFont="1" applyFill="1" applyBorder="1" applyAlignment="1">
      <alignment vertical="center"/>
    </xf>
    <xf numFmtId="38" fontId="19" fillId="6" borderId="1" xfId="1" applyFont="1" applyFill="1" applyBorder="1" applyAlignment="1">
      <alignment horizontal="center" vertical="center"/>
    </xf>
    <xf numFmtId="0" fontId="19" fillId="20" borderId="1" xfId="0" applyFont="1" applyFill="1" applyBorder="1" applyAlignment="1">
      <alignment horizontal="center" vertical="center"/>
    </xf>
    <xf numFmtId="38" fontId="19" fillId="20" borderId="1" xfId="1" applyFont="1" applyFill="1" applyBorder="1" applyAlignment="1">
      <alignment vertical="center"/>
    </xf>
    <xf numFmtId="38" fontId="19" fillId="20" borderId="1" xfId="1" applyFont="1" applyFill="1" applyBorder="1" applyAlignment="1">
      <alignment horizontal="center" vertical="center"/>
    </xf>
    <xf numFmtId="38" fontId="19" fillId="20" borderId="1" xfId="1" applyFont="1" applyFill="1" applyBorder="1" applyAlignment="1">
      <alignment horizontal="right" vertical="center"/>
    </xf>
    <xf numFmtId="0" fontId="19" fillId="20" borderId="1" xfId="0" applyFont="1" applyFill="1" applyBorder="1" applyAlignment="1">
      <alignment horizontal="left" vertical="center"/>
    </xf>
    <xf numFmtId="0" fontId="19" fillId="0" borderId="2" xfId="0" applyFont="1" applyFill="1" applyBorder="1" applyAlignment="1">
      <alignment horizontal="center" vertical="center"/>
    </xf>
    <xf numFmtId="0" fontId="15" fillId="0" borderId="1" xfId="0" applyFont="1" applyFill="1" applyBorder="1" applyAlignment="1">
      <alignment horizontal="center" vertical="center"/>
    </xf>
    <xf numFmtId="0" fontId="14" fillId="0" borderId="0" xfId="0" applyFont="1" applyFill="1" applyAlignment="1">
      <alignment horizontal="center" vertical="center"/>
    </xf>
  </cellXfs>
  <cellStyles count="5">
    <cellStyle name="桁区切り" xfId="1" builtinId="6"/>
    <cellStyle name="桁区切り 2" xfId="3" xr:uid="{4102EC50-F05B-854D-BA81-6F5473DB89F2}"/>
    <cellStyle name="標準" xfId="0" builtinId="0"/>
    <cellStyle name="標準 2" xfId="2" xr:uid="{E3C2921C-2F4C-E645-AF88-2D189520E8CA}"/>
    <cellStyle name="標準 3" xfId="4" xr:uid="{14684A99-AF73-4293-BBDB-983A08CFEC28}"/>
  </cellStyles>
  <dxfs count="10">
    <dxf>
      <font>
        <color rgb="FF9C0006"/>
      </font>
      <fill>
        <patternFill>
          <bgColor rgb="FFFFC7CE"/>
        </patternFill>
      </fill>
    </dxf>
    <dxf>
      <fill>
        <patternFill>
          <bgColor theme="3" tint="0.79998168889431442"/>
        </patternFill>
      </fill>
    </dxf>
    <dxf>
      <fill>
        <patternFill>
          <bgColor theme="5" tint="0.79998168889431442"/>
        </patternFill>
      </fill>
    </dxf>
    <dxf>
      <fill>
        <patternFill>
          <bgColor theme="3" tint="0.79998168889431442"/>
        </patternFill>
      </fill>
    </dxf>
    <dxf>
      <fill>
        <patternFill>
          <bgColor theme="5" tint="0.79998168889431442"/>
        </patternFill>
      </fill>
    </dxf>
    <dxf>
      <font>
        <color rgb="FF9C0006"/>
      </font>
      <fill>
        <patternFill>
          <bgColor rgb="FFFFC7CE"/>
        </patternFill>
      </fill>
    </dxf>
    <dxf>
      <font>
        <color rgb="FF9C0006"/>
      </font>
      <fill>
        <patternFill>
          <bgColor rgb="FFFFC7CE"/>
        </patternFill>
      </fill>
    </dxf>
    <dxf>
      <font>
        <color rgb="FF9C0006"/>
      </font>
      <fill>
        <patternFill>
          <bgColor rgb="FFFFC7CE"/>
        </patternFill>
      </fill>
    </dxf>
    <dxf>
      <fill>
        <patternFill>
          <bgColor theme="3" tint="0.79998168889431442"/>
        </patternFill>
      </fill>
    </dxf>
    <dxf>
      <fill>
        <patternFill>
          <bgColor theme="5" tint="0.79998168889431442"/>
        </patternFill>
      </fill>
    </dxf>
  </dxfs>
  <tableStyles count="0" defaultTableStyle="TableStyleMedium9" defaultPivotStyle="PivotStyleLight16"/>
  <colors>
    <mruColors>
      <color rgb="FFFFCCFF"/>
      <color rgb="FFFF85FF"/>
      <color rgb="FFFFB3FD"/>
      <color rgb="FFFFFFCC"/>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styles" Target="style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calcChain" Target="calcChai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5" Type="http://schemas.openxmlformats.org/officeDocument/2006/relationships/worksheet" Target="worksheets/sheet5.xml"/><Relationship Id="rId15" Type="http://schemas.openxmlformats.org/officeDocument/2006/relationships/externalLink" Target="externalLinks/externalLink1.xml"/><Relationship Id="rId10" Type="http://schemas.openxmlformats.org/officeDocument/2006/relationships/worksheet" Target="worksheets/sheet10.xml"/><Relationship Id="rId19" Type="http://schemas.microsoft.com/office/2017/10/relationships/person" Target="persons/person.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_rels/drawing3.xml.rels><?xml version="1.0" encoding="UTF-8" standalone="yes"?>
<Relationships xmlns="http://schemas.openxmlformats.org/package/2006/relationships"><Relationship Id="rId1" Type="http://schemas.openxmlformats.org/officeDocument/2006/relationships/image" Target="../media/image3.png"/></Relationships>
</file>

<file path=xl/drawings/_rels/drawing4.xml.rels><?xml version="1.0" encoding="UTF-8" standalone="yes"?>
<Relationships xmlns="http://schemas.openxmlformats.org/package/2006/relationships"><Relationship Id="rId1" Type="http://schemas.openxmlformats.org/officeDocument/2006/relationships/image" Target="../media/image4.png"/></Relationships>
</file>

<file path=xl/drawings/drawing1.xml><?xml version="1.0" encoding="utf-8"?>
<xdr:wsDr xmlns:xdr="http://schemas.openxmlformats.org/drawingml/2006/spreadsheetDrawing" xmlns:a="http://schemas.openxmlformats.org/drawingml/2006/main">
  <xdr:twoCellAnchor>
    <xdr:from>
      <xdr:col>0</xdr:col>
      <xdr:colOff>457200</xdr:colOff>
      <xdr:row>1</xdr:row>
      <xdr:rowOff>88900</xdr:rowOff>
    </xdr:from>
    <xdr:to>
      <xdr:col>10</xdr:col>
      <xdr:colOff>444500</xdr:colOff>
      <xdr:row>5</xdr:row>
      <xdr:rowOff>127000</xdr:rowOff>
    </xdr:to>
    <xdr:sp macro="" textlink="">
      <xdr:nvSpPr>
        <xdr:cNvPr id="2" name="角丸四角形 1">
          <a:extLst>
            <a:ext uri="{FF2B5EF4-FFF2-40B4-BE49-F238E27FC236}">
              <a16:creationId xmlns:a16="http://schemas.microsoft.com/office/drawing/2014/main" id="{F0730572-5CF6-2545-A1E9-4AEBD34A85FA}"/>
            </a:ext>
          </a:extLst>
        </xdr:cNvPr>
        <xdr:cNvSpPr/>
      </xdr:nvSpPr>
      <xdr:spPr>
        <a:xfrm>
          <a:off x="457200" y="266700"/>
          <a:ext cx="8242300" cy="749300"/>
        </a:xfrm>
        <a:prstGeom prst="roundRect">
          <a:avLst/>
        </a:prstGeom>
        <a:solidFill>
          <a:schemeClr val="accent3">
            <a:lumMod val="40000"/>
            <a:lumOff val="60000"/>
          </a:schemeClr>
        </a:solidFill>
        <a:ln>
          <a:solidFill>
            <a:schemeClr val="accent3">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コードは、決算（報告）書に記載された「科目」の分類に一致します。</a:t>
          </a:r>
          <a:endParaRPr kumimoji="1" lang="en-US" altLang="ja-JP" sz="1100">
            <a:solidFill>
              <a:sysClr val="windowText" lastClr="000000"/>
            </a:solidFill>
          </a:endParaRPr>
        </a:p>
        <a:p>
          <a:pPr algn="l"/>
          <a:r>
            <a:rPr kumimoji="1" lang="ja-JP" altLang="en-US" sz="1100">
              <a:solidFill>
                <a:sysClr val="windowText" lastClr="000000"/>
              </a:solidFill>
            </a:rPr>
            <a:t>次に決算書のサンプルを示します。</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決算書ファイルの実体は、</a:t>
          </a:r>
          <a:r>
            <a:rPr kumimoji="1" lang="en-US" altLang="ja-JP" sz="1100">
              <a:solidFill>
                <a:sysClr val="windowText" lastClr="000000"/>
              </a:solidFill>
            </a:rPr>
            <a:t>OneDrive</a:t>
          </a:r>
          <a:r>
            <a:rPr kumimoji="1" lang="ja-JP" altLang="en-US" sz="1100">
              <a:solidFill>
                <a:sysClr val="windowText" lastClr="000000"/>
              </a:solidFill>
            </a:rPr>
            <a:t>＞◆駒寄◆＞④総会＞</a:t>
          </a:r>
          <a:r>
            <a:rPr kumimoji="1" lang="en-US" altLang="ja-JP" sz="1100">
              <a:solidFill>
                <a:sysClr val="windowText" lastClr="000000"/>
              </a:solidFill>
            </a:rPr>
            <a:t>2020</a:t>
          </a:r>
          <a:r>
            <a:rPr kumimoji="1" lang="ja-JP" altLang="en-US" sz="1100">
              <a:solidFill>
                <a:sysClr val="windowText" lastClr="000000"/>
              </a:solidFill>
            </a:rPr>
            <a:t>年度通常総会（書面決議）＞</a:t>
          </a:r>
          <a:r>
            <a:rPr kumimoji="1" lang="en-US" altLang="ja-JP" sz="1100">
              <a:solidFill>
                <a:sysClr val="windowText" lastClr="000000"/>
              </a:solidFill>
            </a:rPr>
            <a:t>1380_</a:t>
          </a:r>
          <a:r>
            <a:rPr kumimoji="1" lang="ja-JP" altLang="en-US" sz="1100">
              <a:solidFill>
                <a:sysClr val="windowText" lastClr="000000"/>
              </a:solidFill>
            </a:rPr>
            <a:t>祭礼決算（令和元年度）</a:t>
          </a:r>
          <a:r>
            <a:rPr kumimoji="1" lang="en-US" altLang="ja-JP" sz="1100">
              <a:solidFill>
                <a:sysClr val="windowText" lastClr="000000"/>
              </a:solidFill>
            </a:rPr>
            <a:t>.</a:t>
          </a:r>
          <a:r>
            <a:rPr kumimoji="1" lang="en" altLang="ja-JP" sz="1100">
              <a:solidFill>
                <a:sysClr val="windowText" lastClr="000000"/>
              </a:solidFill>
            </a:rPr>
            <a:t>xlsx</a:t>
          </a:r>
          <a:endParaRPr kumimoji="1" lang="ja-JP" altLang="en-US" sz="1100">
            <a:solidFill>
              <a:sysClr val="windowText" lastClr="000000"/>
            </a:solidFill>
          </a:endParaRPr>
        </a:p>
      </xdr:txBody>
    </xdr:sp>
    <xdr:clientData/>
  </xdr:twoCellAnchor>
  <xdr:twoCellAnchor editAs="oneCell">
    <xdr:from>
      <xdr:col>0</xdr:col>
      <xdr:colOff>533400</xdr:colOff>
      <xdr:row>6</xdr:row>
      <xdr:rowOff>63500</xdr:rowOff>
    </xdr:from>
    <xdr:to>
      <xdr:col>9</xdr:col>
      <xdr:colOff>88900</xdr:colOff>
      <xdr:row>49</xdr:row>
      <xdr:rowOff>127000</xdr:rowOff>
    </xdr:to>
    <xdr:pic>
      <xdr:nvPicPr>
        <xdr:cNvPr id="3" name="図 2">
          <a:extLst>
            <a:ext uri="{FF2B5EF4-FFF2-40B4-BE49-F238E27FC236}">
              <a16:creationId xmlns:a16="http://schemas.microsoft.com/office/drawing/2014/main" id="{BCFCA4EA-27F1-7047-802B-773267DF6EB7}"/>
            </a:ext>
          </a:extLst>
        </xdr:cNvPr>
        <xdr:cNvPicPr>
          <a:picLocks noChangeAspect="1"/>
        </xdr:cNvPicPr>
      </xdr:nvPicPr>
      <xdr:blipFill>
        <a:blip xmlns:r="http://schemas.openxmlformats.org/officeDocument/2006/relationships" r:embed="rId1"/>
        <a:stretch>
          <a:fillRect/>
        </a:stretch>
      </xdr:blipFill>
      <xdr:spPr>
        <a:xfrm>
          <a:off x="533400" y="1130300"/>
          <a:ext cx="6985000" cy="7708900"/>
        </a:xfrm>
        <a:prstGeom prst="rect">
          <a:avLst/>
        </a:prstGeom>
      </xdr:spPr>
    </xdr:pic>
    <xdr:clientData/>
  </xdr:twoCellAnchor>
  <xdr:twoCellAnchor editAs="oneCell">
    <xdr:from>
      <xdr:col>9</xdr:col>
      <xdr:colOff>368300</xdr:colOff>
      <xdr:row>26</xdr:row>
      <xdr:rowOff>63500</xdr:rowOff>
    </xdr:from>
    <xdr:to>
      <xdr:col>19</xdr:col>
      <xdr:colOff>596900</xdr:colOff>
      <xdr:row>34</xdr:row>
      <xdr:rowOff>139700</xdr:rowOff>
    </xdr:to>
    <xdr:pic>
      <xdr:nvPicPr>
        <xdr:cNvPr id="4" name="図 3">
          <a:extLst>
            <a:ext uri="{FF2B5EF4-FFF2-40B4-BE49-F238E27FC236}">
              <a16:creationId xmlns:a16="http://schemas.microsoft.com/office/drawing/2014/main" id="{539A6520-5777-9843-B7D6-44C79212DDC6}"/>
            </a:ext>
          </a:extLst>
        </xdr:cNvPr>
        <xdr:cNvPicPr>
          <a:picLocks noChangeAspect="1"/>
        </xdr:cNvPicPr>
      </xdr:nvPicPr>
      <xdr:blipFill>
        <a:blip xmlns:r="http://schemas.openxmlformats.org/officeDocument/2006/relationships" r:embed="rId2"/>
        <a:stretch>
          <a:fillRect/>
        </a:stretch>
      </xdr:blipFill>
      <xdr:spPr>
        <a:xfrm>
          <a:off x="7797800" y="4686300"/>
          <a:ext cx="8483600" cy="1498600"/>
        </a:xfrm>
        <a:prstGeom prst="rect">
          <a:avLst/>
        </a:prstGeom>
      </xdr:spPr>
    </xdr:pic>
    <xdr:clientData/>
  </xdr:twoCellAnchor>
  <xdr:twoCellAnchor>
    <xdr:from>
      <xdr:col>9</xdr:col>
      <xdr:colOff>482600</xdr:colOff>
      <xdr:row>22</xdr:row>
      <xdr:rowOff>12700</xdr:rowOff>
    </xdr:from>
    <xdr:to>
      <xdr:col>17</xdr:col>
      <xdr:colOff>317500</xdr:colOff>
      <xdr:row>25</xdr:row>
      <xdr:rowOff>127000</xdr:rowOff>
    </xdr:to>
    <xdr:sp macro="" textlink="">
      <xdr:nvSpPr>
        <xdr:cNvPr id="5" name="角丸四角形 4">
          <a:extLst>
            <a:ext uri="{FF2B5EF4-FFF2-40B4-BE49-F238E27FC236}">
              <a16:creationId xmlns:a16="http://schemas.microsoft.com/office/drawing/2014/main" id="{F438583F-2F55-BF4B-A450-EA874B167092}"/>
            </a:ext>
          </a:extLst>
        </xdr:cNvPr>
        <xdr:cNvSpPr/>
      </xdr:nvSpPr>
      <xdr:spPr>
        <a:xfrm>
          <a:off x="7912100" y="3924300"/>
          <a:ext cx="6438900" cy="647700"/>
        </a:xfrm>
        <a:prstGeom prst="roundRect">
          <a:avLst/>
        </a:prstGeom>
        <a:solidFill>
          <a:schemeClr val="accent3">
            <a:lumMod val="40000"/>
            <a:lumOff val="60000"/>
          </a:schemeClr>
        </a:solidFill>
        <a:ln>
          <a:solidFill>
            <a:schemeClr val="accent3">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下記の例は、祭礼用の飲み物等を購入し、コード「</a:t>
          </a:r>
          <a:r>
            <a:rPr kumimoji="1" lang="en-US" altLang="ja-JP" sz="1100">
              <a:solidFill>
                <a:sysClr val="windowText" lastClr="000000"/>
              </a:solidFill>
            </a:rPr>
            <a:t>1</a:t>
          </a:r>
          <a:r>
            <a:rPr kumimoji="1" lang="ja-JP" altLang="en-US" sz="1100">
              <a:solidFill>
                <a:sysClr val="windowText" lastClr="000000"/>
              </a:solidFill>
            </a:rPr>
            <a:t>」適用したものです。</a:t>
          </a:r>
          <a:endParaRPr kumimoji="1" lang="en-US" altLang="ja-JP" sz="1100">
            <a:solidFill>
              <a:sysClr val="windowText" lastClr="000000"/>
            </a:solidFill>
          </a:endParaRPr>
        </a:p>
        <a:p>
          <a:pPr algn="l"/>
          <a:r>
            <a:rPr kumimoji="1" lang="ja-JP" altLang="en-US" sz="1100">
              <a:solidFill>
                <a:sysClr val="windowText" lastClr="000000"/>
              </a:solidFill>
            </a:rPr>
            <a:t>（図左の赤枠部①をコード「</a:t>
          </a:r>
          <a:r>
            <a:rPr kumimoji="1" lang="en-US" altLang="ja-JP" sz="1100">
              <a:solidFill>
                <a:sysClr val="windowText" lastClr="000000"/>
              </a:solidFill>
            </a:rPr>
            <a:t>1</a:t>
          </a:r>
          <a:r>
            <a:rPr kumimoji="1" lang="ja-JP" altLang="en-US" sz="1100">
              <a:solidFill>
                <a:sysClr val="windowText" lastClr="000000"/>
              </a:solidFill>
            </a:rPr>
            <a:t>」とする。）</a:t>
          </a:r>
          <a:endParaRPr kumimoji="1" lang="en-US" altLang="ja-JP" sz="1100">
            <a:solidFill>
              <a:sysClr val="windowText" lastClr="000000"/>
            </a:solidFill>
          </a:endParaRPr>
        </a:p>
      </xdr:txBody>
    </xdr:sp>
    <xdr:clientData/>
  </xdr:twoCellAnchor>
  <xdr:twoCellAnchor>
    <xdr:from>
      <xdr:col>0</xdr:col>
      <xdr:colOff>647700</xdr:colOff>
      <xdr:row>23</xdr:row>
      <xdr:rowOff>88900</xdr:rowOff>
    </xdr:from>
    <xdr:to>
      <xdr:col>2</xdr:col>
      <xdr:colOff>203200</xdr:colOff>
      <xdr:row>25</xdr:row>
      <xdr:rowOff>25400</xdr:rowOff>
    </xdr:to>
    <xdr:sp macro="" textlink="">
      <xdr:nvSpPr>
        <xdr:cNvPr id="6" name="角丸四角形 5">
          <a:extLst>
            <a:ext uri="{FF2B5EF4-FFF2-40B4-BE49-F238E27FC236}">
              <a16:creationId xmlns:a16="http://schemas.microsoft.com/office/drawing/2014/main" id="{0CD5F2CB-D2D7-2C43-A50F-C81E1B79E9C3}"/>
            </a:ext>
          </a:extLst>
        </xdr:cNvPr>
        <xdr:cNvSpPr/>
      </xdr:nvSpPr>
      <xdr:spPr>
        <a:xfrm>
          <a:off x="647700" y="4178300"/>
          <a:ext cx="1206500" cy="292100"/>
        </a:xfrm>
        <a:prstGeom prst="round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190500</xdr:colOff>
      <xdr:row>29</xdr:row>
      <xdr:rowOff>139700</xdr:rowOff>
    </xdr:from>
    <xdr:to>
      <xdr:col>14</xdr:col>
      <xdr:colOff>774700</xdr:colOff>
      <xdr:row>35</xdr:row>
      <xdr:rowOff>76200</xdr:rowOff>
    </xdr:to>
    <xdr:sp macro="" textlink="">
      <xdr:nvSpPr>
        <xdr:cNvPr id="7" name="角丸四角形 6">
          <a:extLst>
            <a:ext uri="{FF2B5EF4-FFF2-40B4-BE49-F238E27FC236}">
              <a16:creationId xmlns:a16="http://schemas.microsoft.com/office/drawing/2014/main" id="{C63A46C3-46D8-094E-84CA-85E40E9BABB2}"/>
            </a:ext>
          </a:extLst>
        </xdr:cNvPr>
        <xdr:cNvSpPr/>
      </xdr:nvSpPr>
      <xdr:spPr>
        <a:xfrm>
          <a:off x="11747500" y="5295900"/>
          <a:ext cx="584200" cy="1003300"/>
        </a:xfrm>
        <a:prstGeom prst="roundRect">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381000</xdr:colOff>
      <xdr:row>51</xdr:row>
      <xdr:rowOff>139700</xdr:rowOff>
    </xdr:from>
    <xdr:to>
      <xdr:col>10</xdr:col>
      <xdr:colOff>368300</xdr:colOff>
      <xdr:row>56</xdr:row>
      <xdr:rowOff>0</xdr:rowOff>
    </xdr:to>
    <xdr:sp macro="" textlink="">
      <xdr:nvSpPr>
        <xdr:cNvPr id="8" name="角丸四角形 7">
          <a:extLst>
            <a:ext uri="{FF2B5EF4-FFF2-40B4-BE49-F238E27FC236}">
              <a16:creationId xmlns:a16="http://schemas.microsoft.com/office/drawing/2014/main" id="{7F5207CA-AD0A-CC40-9DD2-E2DE6881E352}"/>
            </a:ext>
          </a:extLst>
        </xdr:cNvPr>
        <xdr:cNvSpPr/>
      </xdr:nvSpPr>
      <xdr:spPr>
        <a:xfrm>
          <a:off x="381000" y="9207500"/>
          <a:ext cx="8242300" cy="749300"/>
        </a:xfrm>
        <a:prstGeom prst="roundRect">
          <a:avLst/>
        </a:prstGeom>
        <a:solidFill>
          <a:schemeClr val="accent6">
            <a:lumMod val="40000"/>
            <a:lumOff val="60000"/>
          </a:schemeClr>
        </a:solidFill>
        <a:ln>
          <a:solidFill>
            <a:schemeClr val="accent3">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solidFill>
                <a:sysClr val="windowText" lastClr="000000"/>
              </a:solidFill>
            </a:rPr>
            <a:t>実は、作成途中の決算書は、上記とは異なり、下記の場所にあります。</a:t>
          </a:r>
          <a:endParaRPr kumimoji="1" lang="en-US" altLang="ja-JP" sz="1100">
            <a:solidFill>
              <a:sysClr val="windowText" lastClr="000000"/>
            </a:solidFill>
          </a:endParaRPr>
        </a:p>
        <a:p>
          <a:pPr algn="l"/>
          <a:r>
            <a:rPr kumimoji="1" lang="en-US" altLang="ja-JP" sz="1100">
              <a:solidFill>
                <a:sysClr val="windowText" lastClr="000000"/>
              </a:solidFill>
            </a:rPr>
            <a:t>※</a:t>
          </a:r>
          <a:r>
            <a:rPr kumimoji="1" lang="ja-JP" altLang="en-US" sz="1100">
              <a:solidFill>
                <a:sysClr val="windowText" lastClr="000000"/>
              </a:solidFill>
            </a:rPr>
            <a:t>決算書（編集元）ファイルの場所は、</a:t>
          </a:r>
          <a:r>
            <a:rPr kumimoji="1" lang="en-US" altLang="ja-JP" sz="1100">
              <a:solidFill>
                <a:sysClr val="windowText" lastClr="000000"/>
              </a:solidFill>
            </a:rPr>
            <a:t>OneDrive</a:t>
          </a:r>
          <a:r>
            <a:rPr kumimoji="1" lang="ja-JP" altLang="en-US" sz="1100">
              <a:solidFill>
                <a:sysClr val="windowText" lastClr="000000"/>
              </a:solidFill>
            </a:rPr>
            <a:t>＞◆駒寄◆＞★会計★＞④祭礼会計＞祭礼決算＞祭礼決算（令和</a:t>
          </a:r>
          <a:r>
            <a:rPr kumimoji="1" lang="en-US" altLang="ja-JP" sz="1100">
              <a:solidFill>
                <a:sysClr val="windowText" lastClr="000000"/>
              </a:solidFill>
            </a:rPr>
            <a:t>2</a:t>
          </a:r>
          <a:r>
            <a:rPr kumimoji="1" lang="ja-JP" altLang="en-US" sz="1100">
              <a:solidFill>
                <a:sysClr val="windowText" lastClr="000000"/>
              </a:solidFill>
            </a:rPr>
            <a:t>年度）</a:t>
          </a:r>
          <a:r>
            <a:rPr kumimoji="1" lang="en-US" altLang="ja-JP" sz="1100">
              <a:solidFill>
                <a:sysClr val="windowText" lastClr="000000"/>
              </a:solidFill>
            </a:rPr>
            <a:t>.xlsx</a:t>
          </a:r>
          <a:endParaRPr kumimoji="1" lang="ja-JP" altLang="en-US" sz="1100">
            <a:solidFill>
              <a:sysClr val="windowText" lastClr="000000"/>
            </a:solidFill>
          </a:endParaRP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12</xdr:col>
      <xdr:colOff>180975</xdr:colOff>
      <xdr:row>20</xdr:row>
      <xdr:rowOff>123825</xdr:rowOff>
    </xdr:from>
    <xdr:to>
      <xdr:col>19</xdr:col>
      <xdr:colOff>2689411</xdr:colOff>
      <xdr:row>31</xdr:row>
      <xdr:rowOff>134471</xdr:rowOff>
    </xdr:to>
    <xdr:sp macro="" textlink="">
      <xdr:nvSpPr>
        <xdr:cNvPr id="2" name="正方形/長方形 1">
          <a:extLst>
            <a:ext uri="{FF2B5EF4-FFF2-40B4-BE49-F238E27FC236}">
              <a16:creationId xmlns:a16="http://schemas.microsoft.com/office/drawing/2014/main" id="{071DAF79-5A62-2EA0-BEEB-8CED0BBD890B}"/>
            </a:ext>
          </a:extLst>
        </xdr:cNvPr>
        <xdr:cNvSpPr/>
      </xdr:nvSpPr>
      <xdr:spPr>
        <a:xfrm>
          <a:off x="8462122" y="3317501"/>
          <a:ext cx="7024407" cy="1859617"/>
        </a:xfrm>
        <a:prstGeom prst="rect">
          <a:avLst/>
        </a:prstGeom>
        <a:solidFill>
          <a:schemeClr val="accent6">
            <a:lumMod val="40000"/>
            <a:lumOff val="60000"/>
          </a:schemeClr>
        </a:solidFill>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交通費請求について、監査でツッコまれそうな箇所をピックアップしました。</a:t>
          </a:r>
          <a:endParaRPr kumimoji="1" lang="en-US" altLang="ja-JP" sz="1100"/>
        </a:p>
        <a:p>
          <a:pPr algn="l"/>
          <a:endParaRPr kumimoji="1" lang="en-US" altLang="ja-JP" sz="1100"/>
        </a:p>
        <a:p>
          <a:pPr algn="l"/>
          <a:r>
            <a:rPr kumimoji="1" lang="en-US" altLang="ja-JP" sz="1100"/>
            <a:t>No.1 </a:t>
          </a:r>
          <a:r>
            <a:rPr kumimoji="1" lang="ja-JP" altLang="en-US" sz="1100"/>
            <a:t>　うーん、コスパ悪いですね。</a:t>
          </a:r>
          <a:r>
            <a:rPr kumimoji="1" lang="en-US" altLang="ja-JP" sz="1100"/>
            <a:t>110</a:t>
          </a:r>
          <a:r>
            <a:rPr kumimoji="1" lang="ja-JP" altLang="en-US" sz="1100"/>
            <a:t>円の買い物するのに交通費</a:t>
          </a:r>
          <a:r>
            <a:rPr kumimoji="1" lang="en-US" altLang="ja-JP" sz="1100"/>
            <a:t>1,000</a:t>
          </a:r>
          <a:r>
            <a:rPr kumimoji="1" lang="ja-JP" altLang="en-US" sz="1100"/>
            <a:t>円というのは・・・</a:t>
          </a:r>
          <a:endParaRPr kumimoji="1" lang="en-US" altLang="ja-JP" sz="1100"/>
        </a:p>
        <a:p>
          <a:pPr algn="l"/>
          <a:r>
            <a:rPr kumimoji="1" lang="en-US" altLang="ja-JP" sz="1100"/>
            <a:t>No.2</a:t>
          </a:r>
          <a:r>
            <a:rPr kumimoji="1" lang="ja-JP" altLang="en-US" sz="1100"/>
            <a:t>、</a:t>
          </a:r>
          <a:r>
            <a:rPr kumimoji="1" lang="en-US" altLang="ja-JP" sz="1100"/>
            <a:t>3</a:t>
          </a:r>
          <a:r>
            <a:rPr kumimoji="1" lang="ja-JP" altLang="en-US" sz="1100"/>
            <a:t>、</a:t>
          </a:r>
          <a:r>
            <a:rPr kumimoji="1" lang="en-US" altLang="ja-JP" sz="1100"/>
            <a:t>5</a:t>
          </a:r>
          <a:r>
            <a:rPr kumimoji="1" lang="ja-JP" altLang="en-US" sz="1100"/>
            <a:t>　これらの日は、買い物をしていませんね。</a:t>
          </a:r>
          <a:endParaRPr kumimoji="1" lang="en-US" altLang="ja-JP" sz="1100"/>
        </a:p>
        <a:p>
          <a:pPr algn="l"/>
          <a:r>
            <a:rPr kumimoji="1" lang="en-US" altLang="ja-JP" sz="1100"/>
            <a:t>No.6</a:t>
          </a:r>
          <a:r>
            <a:rPr kumimoji="1" lang="ja-JP" altLang="en-US" sz="1100"/>
            <a:t>、</a:t>
          </a:r>
          <a:r>
            <a:rPr kumimoji="1" lang="en-US" altLang="ja-JP" sz="1100"/>
            <a:t>7</a:t>
          </a:r>
          <a:r>
            <a:rPr kumimoji="1" lang="ja-JP" altLang="en-US" sz="1100"/>
            <a:t>　請求者が別で、行先及び同行者（≒同乗者）が同じという請求があります。</a:t>
          </a:r>
          <a:endParaRPr kumimoji="1" lang="en-US" altLang="ja-JP" sz="1100"/>
        </a:p>
        <a:p>
          <a:pPr algn="l"/>
          <a:endParaRPr kumimoji="1" lang="en-US" altLang="ja-JP" sz="1100"/>
        </a:p>
        <a:p>
          <a:pPr algn="l"/>
          <a:r>
            <a:rPr kumimoji="1" lang="en-US" altLang="ja-JP" sz="1100"/>
            <a:t>※</a:t>
          </a:r>
          <a:r>
            <a:rPr kumimoji="1" lang="ja-JP" altLang="en-US" sz="1100"/>
            <a:t>そのほか、「申請日」に不整合のある精算書があるので、現物を確認し訂正ください。</a:t>
          </a:r>
        </a:p>
      </xdr:txBody>
    </xdr:sp>
    <xdr:clientData/>
  </xdr:twoCellAnchor>
  <xdr:twoCellAnchor>
    <xdr:from>
      <xdr:col>12</xdr:col>
      <xdr:colOff>184337</xdr:colOff>
      <xdr:row>34</xdr:row>
      <xdr:rowOff>79561</xdr:rowOff>
    </xdr:from>
    <xdr:to>
      <xdr:col>19</xdr:col>
      <xdr:colOff>2678206</xdr:colOff>
      <xdr:row>56</xdr:row>
      <xdr:rowOff>22412</xdr:rowOff>
    </xdr:to>
    <xdr:sp macro="" textlink="">
      <xdr:nvSpPr>
        <xdr:cNvPr id="3" name="正方形/長方形 2">
          <a:extLst>
            <a:ext uri="{FF2B5EF4-FFF2-40B4-BE49-F238E27FC236}">
              <a16:creationId xmlns:a16="http://schemas.microsoft.com/office/drawing/2014/main" id="{0BC9BDD9-FF48-FFA5-BC0B-858610F2C9D4}"/>
            </a:ext>
          </a:extLst>
        </xdr:cNvPr>
        <xdr:cNvSpPr/>
      </xdr:nvSpPr>
      <xdr:spPr>
        <a:xfrm>
          <a:off x="8465484" y="5626473"/>
          <a:ext cx="7009840" cy="3640792"/>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endParaRPr kumimoji="1" lang="en-US" altLang="ja-JP" sz="1100"/>
        </a:p>
        <a:p>
          <a:pPr algn="l"/>
          <a:r>
            <a:rPr kumimoji="1" lang="en-US" altLang="ja-JP" sz="1100"/>
            <a:t>No.2</a:t>
          </a:r>
          <a:r>
            <a:rPr kumimoji="1" lang="ja-JP" altLang="en-US" sz="1100"/>
            <a:t>、</a:t>
          </a:r>
          <a:r>
            <a:rPr kumimoji="1" lang="en-US" altLang="ja-JP" sz="1100"/>
            <a:t>3</a:t>
          </a:r>
          <a:r>
            <a:rPr kumimoji="1" lang="ja-JP" altLang="en-US" sz="1100"/>
            <a:t>、</a:t>
          </a:r>
          <a:r>
            <a:rPr kumimoji="1" lang="en-US" altLang="ja-JP" sz="1100"/>
            <a:t>5</a:t>
          </a:r>
          <a:r>
            <a:rPr kumimoji="1" lang="ja-JP" altLang="en-US" sz="1100"/>
            <a:t>　これらについては、「備考」欄に”下見のため”と記載ください。</a:t>
          </a:r>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en-US" altLang="ja-JP" sz="1100"/>
            <a:t>※No.1</a:t>
          </a:r>
          <a:r>
            <a:rPr kumimoji="1" lang="ja-JP" altLang="en-US" sz="1100"/>
            <a:t>については、</a:t>
          </a:r>
          <a:r>
            <a:rPr kumimoji="1" lang="ja-JP" altLang="ja-JP" sz="1100">
              <a:solidFill>
                <a:schemeClr val="dk1"/>
              </a:solidFill>
              <a:effectLst/>
              <a:latin typeface="+mn-lt"/>
              <a:ea typeface="+mn-ea"/>
              <a:cs typeface="+mn-cs"/>
            </a:rPr>
            <a:t>”下見</a:t>
          </a:r>
          <a:r>
            <a:rPr kumimoji="1" lang="ja-JP" altLang="en-US" sz="1100">
              <a:solidFill>
                <a:schemeClr val="dk1"/>
              </a:solidFill>
              <a:effectLst/>
              <a:latin typeface="+mn-lt"/>
              <a:ea typeface="+mn-ea"/>
              <a:cs typeface="+mn-cs"/>
            </a:rPr>
            <a:t>を兼ねる</a:t>
          </a:r>
          <a:r>
            <a:rPr kumimoji="1" lang="ja-JP" altLang="ja-JP" sz="1100">
              <a:solidFill>
                <a:schemeClr val="dk1"/>
              </a:solidFill>
              <a:effectLst/>
              <a:latin typeface="+mn-lt"/>
              <a:ea typeface="+mn-ea"/>
              <a:cs typeface="+mn-cs"/>
            </a:rPr>
            <a:t>”と記載ください。</a:t>
          </a:r>
          <a:endParaRPr lang="ja-JP" altLang="ja-JP">
            <a:effectLst/>
          </a:endParaRPr>
        </a:p>
        <a:p>
          <a:pPr algn="l"/>
          <a:endParaRPr kumimoji="1" lang="en-US" altLang="ja-JP" sz="1100"/>
        </a:p>
        <a:p>
          <a:r>
            <a:rPr kumimoji="1" lang="en-US" altLang="ja-JP" sz="1100"/>
            <a:t>No.6</a:t>
          </a:r>
          <a:r>
            <a:rPr kumimoji="1" lang="ja-JP" altLang="en-US" sz="1100"/>
            <a:t>、</a:t>
          </a:r>
          <a:r>
            <a:rPr kumimoji="1" lang="en-US" altLang="ja-JP" sz="1100"/>
            <a:t>7</a:t>
          </a:r>
          <a:r>
            <a:rPr kumimoji="1" lang="ja-JP" altLang="en-US" sz="1100"/>
            <a:t>　同じ行先に</a:t>
          </a:r>
          <a:r>
            <a:rPr kumimoji="1" lang="ja-JP" altLang="ja-JP" sz="1100">
              <a:solidFill>
                <a:schemeClr val="dk1"/>
              </a:solidFill>
              <a:effectLst/>
              <a:latin typeface="+mn-lt"/>
              <a:ea typeface="+mn-ea"/>
              <a:cs typeface="+mn-cs"/>
            </a:rPr>
            <a:t>５人で車両２台</a:t>
          </a:r>
          <a:r>
            <a:rPr kumimoji="1" lang="ja-JP" altLang="en-US" sz="1100">
              <a:solidFill>
                <a:schemeClr val="dk1"/>
              </a:solidFill>
              <a:effectLst/>
              <a:latin typeface="+mn-lt"/>
              <a:ea typeface="+mn-ea"/>
              <a:cs typeface="+mn-cs"/>
            </a:rPr>
            <a:t>に分散乗車したということであれば、</a:t>
          </a:r>
          <a:r>
            <a:rPr kumimoji="1" lang="en-US" altLang="ja-JP" sz="1100">
              <a:solidFill>
                <a:schemeClr val="dk1"/>
              </a:solidFill>
              <a:effectLst/>
              <a:latin typeface="+mn-lt"/>
              <a:ea typeface="+mn-ea"/>
              <a:cs typeface="+mn-cs"/>
            </a:rPr>
            <a:t>No.6</a:t>
          </a:r>
          <a:r>
            <a:rPr kumimoji="1" lang="ja-JP" altLang="en-US" sz="1100">
              <a:solidFill>
                <a:schemeClr val="dk1"/>
              </a:solidFill>
              <a:effectLst/>
              <a:latin typeface="+mn-lt"/>
              <a:ea typeface="+mn-ea"/>
              <a:cs typeface="+mn-cs"/>
            </a:rPr>
            <a:t>と</a:t>
          </a:r>
          <a:r>
            <a:rPr kumimoji="1" lang="en-US" altLang="ja-JP" sz="1100">
              <a:solidFill>
                <a:schemeClr val="dk1"/>
              </a:solidFill>
              <a:effectLst/>
              <a:latin typeface="+mn-lt"/>
              <a:ea typeface="+mn-ea"/>
              <a:cs typeface="+mn-cs"/>
            </a:rPr>
            <a:t>No.7</a:t>
          </a:r>
          <a:r>
            <a:rPr kumimoji="1" lang="ja-JP" altLang="en-US" sz="1100">
              <a:solidFill>
                <a:schemeClr val="dk1"/>
              </a:solidFill>
              <a:effectLst/>
              <a:latin typeface="+mn-lt"/>
              <a:ea typeface="+mn-ea"/>
              <a:cs typeface="+mn-cs"/>
            </a:rPr>
            <a:t>の</a:t>
          </a:r>
          <a:endParaRPr lang="ja-JP" altLang="ja-JP">
            <a:effectLst/>
          </a:endParaRPr>
        </a:p>
        <a:p>
          <a:r>
            <a:rPr kumimoji="1" lang="ja-JP" altLang="ja-JP" sz="1100">
              <a:solidFill>
                <a:schemeClr val="dk1"/>
              </a:solidFill>
              <a:effectLst/>
              <a:latin typeface="+mn-lt"/>
              <a:ea typeface="+mn-ea"/>
              <a:cs typeface="+mn-cs"/>
            </a:rPr>
            <a:t>　「備考欄」に</a:t>
          </a:r>
          <a:r>
            <a:rPr kumimoji="1" lang="ja-JP" altLang="en-US" sz="1100">
              <a:solidFill>
                <a:schemeClr val="dk1"/>
              </a:solidFill>
              <a:effectLst/>
              <a:latin typeface="+mn-lt"/>
              <a:ea typeface="+mn-ea"/>
              <a:cs typeface="+mn-cs"/>
            </a:rPr>
            <a:t>それぞれ異なる</a:t>
          </a:r>
          <a:r>
            <a:rPr kumimoji="1" lang="ja-JP" altLang="ja-JP" sz="1100">
              <a:solidFill>
                <a:schemeClr val="dk1"/>
              </a:solidFill>
              <a:effectLst/>
              <a:latin typeface="+mn-lt"/>
              <a:ea typeface="+mn-ea"/>
              <a:cs typeface="+mn-cs"/>
            </a:rPr>
            <a:t>同乗者</a:t>
          </a:r>
          <a:r>
            <a:rPr kumimoji="1" lang="ja-JP" altLang="en-US" sz="1100">
              <a:solidFill>
                <a:schemeClr val="dk1"/>
              </a:solidFill>
              <a:effectLst/>
              <a:latin typeface="+mn-lt"/>
              <a:ea typeface="+mn-ea"/>
              <a:cs typeface="+mn-cs"/>
            </a:rPr>
            <a:t>名</a:t>
          </a:r>
          <a:r>
            <a:rPr kumimoji="1" lang="ja-JP" altLang="ja-JP" sz="1100">
              <a:solidFill>
                <a:schemeClr val="dk1"/>
              </a:solidFill>
              <a:effectLst/>
              <a:latin typeface="+mn-lt"/>
              <a:ea typeface="+mn-ea"/>
              <a:cs typeface="+mn-cs"/>
            </a:rPr>
            <a:t>を記載</a:t>
          </a:r>
          <a:r>
            <a:rPr kumimoji="1" lang="ja-JP" altLang="en-US" sz="1100">
              <a:solidFill>
                <a:schemeClr val="dk1"/>
              </a:solidFill>
              <a:effectLst/>
              <a:latin typeface="+mn-lt"/>
              <a:ea typeface="+mn-ea"/>
              <a:cs typeface="+mn-cs"/>
            </a:rPr>
            <a:t>ください。</a:t>
          </a:r>
          <a:endParaRPr lang="ja-JP" altLang="ja-JP">
            <a:effectLst/>
          </a:endParaRPr>
        </a:p>
        <a:p>
          <a:pPr algn="l"/>
          <a:endParaRPr kumimoji="1" lang="en-US" altLang="ja-JP" sz="1100"/>
        </a:p>
        <a:p>
          <a:pPr algn="l"/>
          <a:endParaRPr kumimoji="1" lang="en-US" altLang="ja-JP" sz="1100"/>
        </a:p>
        <a:p>
          <a:pPr marL="0" marR="0" lvl="0" indent="0" algn="l"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dk1"/>
              </a:solidFill>
              <a:effectLst/>
              <a:latin typeface="+mn-lt"/>
              <a:ea typeface="+mn-ea"/>
              <a:cs typeface="+mn-cs"/>
            </a:rPr>
            <a:t>ババーズの皆さんが重要な役割（貢献）を果たしていること</a:t>
          </a:r>
          <a:r>
            <a:rPr kumimoji="1" lang="ja-JP" altLang="en-US" sz="1100">
              <a:solidFill>
                <a:schemeClr val="dk1"/>
              </a:solidFill>
              <a:effectLst/>
              <a:latin typeface="+mn-lt"/>
              <a:ea typeface="+mn-ea"/>
              <a:cs typeface="+mn-cs"/>
            </a:rPr>
            <a:t>に</a:t>
          </a:r>
          <a:r>
            <a:rPr kumimoji="1" lang="ja-JP" altLang="ja-JP" sz="1100">
              <a:solidFill>
                <a:schemeClr val="dk1"/>
              </a:solidFill>
              <a:effectLst/>
              <a:latin typeface="+mn-lt"/>
              <a:ea typeface="+mn-ea"/>
              <a:cs typeface="+mn-cs"/>
            </a:rPr>
            <a:t>皆</a:t>
          </a:r>
          <a:r>
            <a:rPr kumimoji="1" lang="ja-JP" altLang="en-US" sz="1100">
              <a:solidFill>
                <a:schemeClr val="dk1"/>
              </a:solidFill>
              <a:effectLst/>
              <a:latin typeface="+mn-lt"/>
              <a:ea typeface="+mn-ea"/>
              <a:cs typeface="+mn-cs"/>
            </a:rPr>
            <a:t>感謝しているだけに、</a:t>
          </a:r>
          <a:endParaRPr kumimoji="1" lang="en-US" altLang="ja-JP" sz="1100">
            <a:solidFill>
              <a:schemeClr val="dk1"/>
            </a:solidFill>
            <a:effectLst/>
            <a:latin typeface="+mn-lt"/>
            <a:ea typeface="+mn-ea"/>
            <a:cs typeface="+mn-cs"/>
          </a:endParaRPr>
        </a:p>
        <a:p>
          <a:pPr algn="l"/>
          <a:r>
            <a:rPr kumimoji="1" lang="ja-JP" altLang="en-US" sz="1100"/>
            <a:t>このような細かい指摘をするのは心苦しいですが、</a:t>
          </a:r>
          <a:endParaRPr kumimoji="1" lang="en-US" altLang="ja-JP" sz="1100"/>
        </a:p>
        <a:p>
          <a:pPr algn="l"/>
          <a:r>
            <a:rPr kumimoji="1" lang="ja-JP" altLang="en-US" sz="1100"/>
            <a:t>だからこそ、会計監査から不適切会計と疑われないように注意してください。</a:t>
          </a:r>
          <a:endParaRPr kumimoji="1" lang="en-US" altLang="ja-JP" sz="1100"/>
        </a:p>
        <a:p>
          <a:pPr algn="l"/>
          <a:r>
            <a:rPr kumimoji="1" lang="en-US" altLang="ja-JP" sz="1100"/>
            <a:t>No.1</a:t>
          </a:r>
          <a:r>
            <a:rPr kumimoji="1" lang="ja-JP" altLang="en-US" sz="1100"/>
            <a:t>、</a:t>
          </a:r>
          <a:r>
            <a:rPr kumimoji="1" lang="en-US" altLang="ja-JP" sz="1100"/>
            <a:t>2</a:t>
          </a:r>
          <a:r>
            <a:rPr kumimoji="1" lang="ja-JP" altLang="en-US" sz="1100"/>
            <a:t>、</a:t>
          </a:r>
          <a:r>
            <a:rPr kumimoji="1" lang="en-US" altLang="ja-JP" sz="1100"/>
            <a:t>3</a:t>
          </a:r>
          <a:r>
            <a:rPr kumimoji="1" lang="ja-JP" altLang="en-US" sz="1100"/>
            <a:t>、</a:t>
          </a:r>
          <a:r>
            <a:rPr kumimoji="1" lang="en-US" altLang="ja-JP" sz="1100"/>
            <a:t>5</a:t>
          </a:r>
          <a:r>
            <a:rPr kumimoji="1" lang="ja-JP" altLang="en-US" sz="1100"/>
            <a:t>については、「物言い」がつくかもしれませんが、今回は橋本の方で会長、監査を説得します。</a:t>
          </a:r>
          <a:endParaRPr kumimoji="1" lang="en-US" altLang="ja-JP" sz="1100"/>
        </a:p>
        <a:p>
          <a:pPr algn="l"/>
          <a:endParaRPr kumimoji="1" lang="en-US" altLang="ja-JP" sz="1100"/>
        </a:p>
        <a:p>
          <a:r>
            <a:rPr kumimoji="1" lang="ja-JP" altLang="en-US" sz="1100"/>
            <a:t>また、</a:t>
          </a:r>
          <a:r>
            <a:rPr kumimoji="1" lang="ja-JP" altLang="ja-JP" sz="1100">
              <a:solidFill>
                <a:schemeClr val="dk1"/>
              </a:solidFill>
              <a:effectLst/>
              <a:latin typeface="+mn-lt"/>
              <a:ea typeface="+mn-ea"/>
              <a:cs typeface="+mn-cs"/>
            </a:rPr>
            <a:t>年々</a:t>
          </a:r>
          <a:r>
            <a:rPr kumimoji="1" lang="ja-JP" altLang="en-US" sz="1100">
              <a:solidFill>
                <a:schemeClr val="dk1"/>
              </a:solidFill>
              <a:effectLst/>
              <a:latin typeface="+mn-lt"/>
              <a:ea typeface="+mn-ea"/>
              <a:cs typeface="+mn-cs"/>
            </a:rPr>
            <a:t>、</a:t>
          </a:r>
          <a:r>
            <a:rPr kumimoji="1" lang="ja-JP" altLang="ja-JP" sz="1100">
              <a:solidFill>
                <a:schemeClr val="dk1"/>
              </a:solidFill>
              <a:effectLst/>
              <a:latin typeface="+mn-lt"/>
              <a:ea typeface="+mn-ea"/>
              <a:cs typeface="+mn-cs"/>
            </a:rPr>
            <a:t>祭礼</a:t>
          </a:r>
          <a:r>
            <a:rPr kumimoji="1" lang="ja-JP" altLang="en-US" sz="1100">
              <a:solidFill>
                <a:schemeClr val="dk1"/>
              </a:solidFill>
              <a:effectLst/>
              <a:latin typeface="+mn-lt"/>
              <a:ea typeface="+mn-ea"/>
              <a:cs typeface="+mn-cs"/>
            </a:rPr>
            <a:t>の</a:t>
          </a:r>
          <a:r>
            <a:rPr kumimoji="1" lang="ja-JP" altLang="ja-JP" sz="1100">
              <a:solidFill>
                <a:schemeClr val="dk1"/>
              </a:solidFill>
              <a:effectLst/>
              <a:latin typeface="+mn-lt"/>
              <a:ea typeface="+mn-ea"/>
              <a:cs typeface="+mn-cs"/>
            </a:rPr>
            <a:t>収入</a:t>
          </a:r>
          <a:r>
            <a:rPr kumimoji="1" lang="ja-JP" altLang="en-US" sz="1100">
              <a:solidFill>
                <a:schemeClr val="dk1"/>
              </a:solidFill>
              <a:effectLst/>
              <a:latin typeface="+mn-lt"/>
              <a:ea typeface="+mn-ea"/>
              <a:cs typeface="+mn-cs"/>
            </a:rPr>
            <a:t>が</a:t>
          </a:r>
          <a:r>
            <a:rPr kumimoji="1" lang="ja-JP" altLang="ja-JP" sz="1100">
              <a:solidFill>
                <a:schemeClr val="dk1"/>
              </a:solidFill>
              <a:effectLst/>
              <a:latin typeface="+mn-lt"/>
              <a:ea typeface="+mn-ea"/>
              <a:cs typeface="+mn-cs"/>
            </a:rPr>
            <a:t>減少して</a:t>
          </a:r>
          <a:r>
            <a:rPr kumimoji="1" lang="ja-JP" altLang="en-US" sz="1100">
              <a:solidFill>
                <a:schemeClr val="dk1"/>
              </a:solidFill>
              <a:effectLst/>
              <a:latin typeface="+mn-lt"/>
              <a:ea typeface="+mn-ea"/>
              <a:cs typeface="+mn-cs"/>
            </a:rPr>
            <a:t>いるのが現状です。</a:t>
          </a:r>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これからも、より一層、無駄遣いをなくし、支出減に協力ください。</a:t>
          </a:r>
          <a:endParaRPr kumimoji="1" lang="en-US" altLang="ja-JP" sz="1100">
            <a:solidFill>
              <a:schemeClr val="dk1"/>
            </a:solidFill>
            <a:effectLst/>
            <a:latin typeface="+mn-lt"/>
            <a:ea typeface="+mn-ea"/>
            <a:cs typeface="+mn-cs"/>
          </a:endParaRPr>
        </a:p>
        <a:p>
          <a:endParaRPr kumimoji="1" lang="en-US" altLang="ja-JP" sz="1100">
            <a:solidFill>
              <a:schemeClr val="dk1"/>
            </a:solidFill>
            <a:effectLst/>
            <a:latin typeface="+mn-lt"/>
            <a:ea typeface="+mn-ea"/>
            <a:cs typeface="+mn-cs"/>
          </a:endParaRPr>
        </a:p>
        <a:p>
          <a:r>
            <a:rPr kumimoji="1" lang="ja-JP" altLang="en-US" sz="1100">
              <a:solidFill>
                <a:schemeClr val="dk1"/>
              </a:solidFill>
              <a:effectLst/>
              <a:latin typeface="+mn-lt"/>
              <a:ea typeface="+mn-ea"/>
              <a:cs typeface="+mn-cs"/>
            </a:rPr>
            <a:t>よろしくお願いいたします。</a:t>
          </a:r>
          <a:endParaRPr kumimoji="1" lang="en-US" altLang="ja-JP" sz="1100">
            <a:solidFill>
              <a:schemeClr val="dk1"/>
            </a:solidFill>
            <a:effectLst/>
            <a:latin typeface="+mn-lt"/>
            <a:ea typeface="+mn-ea"/>
            <a:cs typeface="+mn-cs"/>
          </a:endParaRPr>
        </a:p>
        <a:p>
          <a:endParaRPr lang="ja-JP" altLang="ja-JP">
            <a:effectLst/>
          </a:endParaRPr>
        </a:p>
      </xdr:txBody>
    </xdr:sp>
    <xdr:clientData/>
  </xdr:twoCellAnchor>
  <xdr:twoCellAnchor>
    <xdr:from>
      <xdr:col>0</xdr:col>
      <xdr:colOff>194236</xdr:colOff>
      <xdr:row>56</xdr:row>
      <xdr:rowOff>127933</xdr:rowOff>
    </xdr:from>
    <xdr:to>
      <xdr:col>8</xdr:col>
      <xdr:colOff>2017058</xdr:colOff>
      <xdr:row>69</xdr:row>
      <xdr:rowOff>56029</xdr:rowOff>
    </xdr:to>
    <xdr:sp macro="" textlink="">
      <xdr:nvSpPr>
        <xdr:cNvPr id="4" name="正方形/長方形 3">
          <a:extLst>
            <a:ext uri="{FF2B5EF4-FFF2-40B4-BE49-F238E27FC236}">
              <a16:creationId xmlns:a16="http://schemas.microsoft.com/office/drawing/2014/main" id="{8353537B-FAA5-FD88-1801-82BA888FB06F}"/>
            </a:ext>
          </a:extLst>
        </xdr:cNvPr>
        <xdr:cNvSpPr/>
      </xdr:nvSpPr>
      <xdr:spPr>
        <a:xfrm>
          <a:off x="194236" y="9372786"/>
          <a:ext cx="6338793" cy="2113243"/>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ja-JP" altLang="en-US" sz="1100"/>
            <a:t>今回、橋本のほうでレシートから上の表を起こしましたが、</a:t>
          </a:r>
          <a:endParaRPr kumimoji="1" lang="en-US" altLang="ja-JP" sz="1100"/>
        </a:p>
        <a:p>
          <a:pPr algn="l"/>
          <a:r>
            <a:rPr kumimoji="1" lang="ja-JP" altLang="en-US" sz="1100"/>
            <a:t>今後、このような集計表も併せて提出いただけると助かります。</a:t>
          </a:r>
          <a:endParaRPr kumimoji="1" lang="en-US" altLang="ja-JP" sz="1100"/>
        </a:p>
        <a:p>
          <a:pPr algn="l"/>
          <a:r>
            <a:rPr kumimoji="1" lang="ja-JP" altLang="en-US" sz="1100"/>
            <a:t>特に「用途」が説明できないものは会計監査で指摘を受ける可能性がありますので</a:t>
          </a:r>
          <a:endParaRPr kumimoji="1" lang="en-US" altLang="ja-JP" sz="1100"/>
        </a:p>
        <a:p>
          <a:pPr algn="l"/>
          <a:r>
            <a:rPr kumimoji="1" lang="ja-JP" altLang="en-US" sz="1100"/>
            <a:t>「用途」を明確にしてください。（例えば</a:t>
          </a:r>
          <a:r>
            <a:rPr kumimoji="1" lang="en-US" altLang="ja-JP" sz="1100"/>
            <a:t>7/4 </a:t>
          </a:r>
          <a:r>
            <a:rPr kumimoji="1" lang="ja-JP" altLang="en-US" sz="1100"/>
            <a:t>パンケーキ、ボンボンは何の用途なのか）</a:t>
          </a:r>
          <a:endParaRPr kumimoji="1" lang="en-US" altLang="ja-JP" sz="1100"/>
        </a:p>
        <a:p>
          <a:pPr algn="l"/>
          <a:endParaRPr kumimoji="1" lang="en-US" altLang="ja-JP" sz="1100"/>
        </a:p>
        <a:p>
          <a:pPr algn="l"/>
          <a:r>
            <a:rPr kumimoji="1" lang="ja-JP" altLang="en-US" sz="1100"/>
            <a:t>祭礼時に消費してしまうもの（飲食物、</a:t>
          </a:r>
          <a:r>
            <a:rPr kumimoji="1" lang="ja-JP" altLang="ja-JP" sz="1100">
              <a:solidFill>
                <a:schemeClr val="dk1"/>
              </a:solidFill>
              <a:effectLst/>
              <a:latin typeface="+mn-lt"/>
              <a:ea typeface="+mn-ea"/>
              <a:cs typeface="+mn-cs"/>
            </a:rPr>
            <a:t>容器</a:t>
          </a:r>
          <a:r>
            <a:rPr kumimoji="1" lang="ja-JP" altLang="en-US" sz="1100">
              <a:solidFill>
                <a:schemeClr val="dk1"/>
              </a:solidFill>
              <a:effectLst/>
              <a:latin typeface="+mn-lt"/>
              <a:ea typeface="+mn-ea"/>
              <a:cs typeface="+mn-cs"/>
            </a:rPr>
            <a:t>、</a:t>
          </a:r>
          <a:r>
            <a:rPr kumimoji="1" lang="ja-JP" altLang="en-US" sz="1100"/>
            <a:t>ごみ袋等）は祭礼会計で</a:t>
          </a:r>
          <a:r>
            <a:rPr kumimoji="1" lang="en-US" altLang="ja-JP" sz="1100"/>
            <a:t>OK</a:t>
          </a:r>
          <a:r>
            <a:rPr kumimoji="1" lang="ja-JP" altLang="en-US" sz="1100"/>
            <a:t>ですが、</a:t>
          </a:r>
          <a:endParaRPr kumimoji="1" lang="en-US" altLang="ja-JP" sz="1100"/>
        </a:p>
        <a:p>
          <a:pPr algn="l"/>
          <a:r>
            <a:rPr kumimoji="1" lang="ja-JP" altLang="en-US" sz="1100"/>
            <a:t>会館設備と受取られかねないもの</a:t>
          </a:r>
          <a:r>
            <a:rPr kumimoji="1" lang="ja-JP" altLang="ja-JP" sz="1100">
              <a:solidFill>
                <a:schemeClr val="dk1"/>
              </a:solidFill>
              <a:effectLst/>
              <a:latin typeface="+mn-lt"/>
              <a:ea typeface="+mn-ea"/>
              <a:cs typeface="+mn-cs"/>
            </a:rPr>
            <a:t>（つっぱり棒、カーテン、キッチンマット等）</a:t>
          </a:r>
          <a:r>
            <a:rPr kumimoji="1" lang="ja-JP" altLang="en-US" sz="1100"/>
            <a:t>は、</a:t>
          </a:r>
          <a:endParaRPr kumimoji="1" lang="en-US" altLang="ja-JP" sz="1100"/>
        </a:p>
        <a:p>
          <a:pPr algn="l"/>
          <a:r>
            <a:rPr kumimoji="1" lang="ja-JP" altLang="en-US" sz="1100"/>
            <a:t>会館会計として処理したほうがよい場合もあります。</a:t>
          </a:r>
          <a:endParaRPr kumimoji="1" lang="en-US" altLang="ja-JP" sz="1100"/>
        </a:p>
        <a:p>
          <a:pPr algn="l"/>
          <a:endParaRPr kumimoji="1" lang="ja-JP" altLang="en-US" sz="1100"/>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40822</xdr:colOff>
      <xdr:row>1</xdr:row>
      <xdr:rowOff>27214</xdr:rowOff>
    </xdr:from>
    <xdr:to>
      <xdr:col>14</xdr:col>
      <xdr:colOff>119988</xdr:colOff>
      <xdr:row>58</xdr:row>
      <xdr:rowOff>115749</xdr:rowOff>
    </xdr:to>
    <xdr:pic>
      <xdr:nvPicPr>
        <xdr:cNvPr id="3" name="図 2">
          <a:extLst>
            <a:ext uri="{FF2B5EF4-FFF2-40B4-BE49-F238E27FC236}">
              <a16:creationId xmlns:a16="http://schemas.microsoft.com/office/drawing/2014/main" id="{85D4BA9A-B079-1F1D-F904-8F7C5A3BF13E}"/>
            </a:ext>
          </a:extLst>
        </xdr:cNvPr>
        <xdr:cNvPicPr>
          <a:picLocks noChangeAspect="1"/>
        </xdr:cNvPicPr>
      </xdr:nvPicPr>
      <xdr:blipFill>
        <a:blip xmlns:r="http://schemas.openxmlformats.org/officeDocument/2006/relationships" r:embed="rId1"/>
        <a:stretch>
          <a:fillRect/>
        </a:stretch>
      </xdr:blipFill>
      <xdr:spPr>
        <a:xfrm>
          <a:off x="721179" y="204107"/>
          <a:ext cx="8923809" cy="10171428"/>
        </a:xfrm>
        <a:prstGeom prst="rect">
          <a:avLst/>
        </a:prstGeom>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0</xdr:col>
      <xdr:colOff>466725</xdr:colOff>
      <xdr:row>103</xdr:row>
      <xdr:rowOff>9525</xdr:rowOff>
    </xdr:from>
    <xdr:to>
      <xdr:col>8</xdr:col>
      <xdr:colOff>429849</xdr:colOff>
      <xdr:row>121</xdr:row>
      <xdr:rowOff>11015</xdr:rowOff>
    </xdr:to>
    <xdr:pic>
      <xdr:nvPicPr>
        <xdr:cNvPr id="3" name="図 2">
          <a:extLst>
            <a:ext uri="{FF2B5EF4-FFF2-40B4-BE49-F238E27FC236}">
              <a16:creationId xmlns:a16="http://schemas.microsoft.com/office/drawing/2014/main" id="{F60593B7-EF1A-338D-1E77-85F0E055039D}"/>
            </a:ext>
          </a:extLst>
        </xdr:cNvPr>
        <xdr:cNvPicPr>
          <a:picLocks noChangeAspect="1"/>
        </xdr:cNvPicPr>
      </xdr:nvPicPr>
      <xdr:blipFill>
        <a:blip xmlns:r="http://schemas.openxmlformats.org/officeDocument/2006/relationships" r:embed="rId1"/>
        <a:stretch>
          <a:fillRect/>
        </a:stretch>
      </xdr:blipFill>
      <xdr:spPr>
        <a:xfrm>
          <a:off x="466725" y="17668875"/>
          <a:ext cx="5449524" cy="3316190"/>
        </a:xfrm>
        <a:prstGeom prst="rect">
          <a:avLst/>
        </a:prstGeom>
      </xdr:spPr>
    </xdr:pic>
    <xdr:clientData/>
  </xdr:twoCellAnchor>
  <xdr:twoCellAnchor>
    <xdr:from>
      <xdr:col>7</xdr:col>
      <xdr:colOff>180974</xdr:colOff>
      <xdr:row>117</xdr:row>
      <xdr:rowOff>133350</xdr:rowOff>
    </xdr:from>
    <xdr:to>
      <xdr:col>8</xdr:col>
      <xdr:colOff>495299</xdr:colOff>
      <xdr:row>119</xdr:row>
      <xdr:rowOff>9525</xdr:rowOff>
    </xdr:to>
    <xdr:sp macro="" textlink="">
      <xdr:nvSpPr>
        <xdr:cNvPr id="4" name="正方形/長方形 3">
          <a:extLst>
            <a:ext uri="{FF2B5EF4-FFF2-40B4-BE49-F238E27FC236}">
              <a16:creationId xmlns:a16="http://schemas.microsoft.com/office/drawing/2014/main" id="{31D58EC8-E584-49A7-9838-B4C5909924FA}"/>
            </a:ext>
          </a:extLst>
        </xdr:cNvPr>
        <xdr:cNvSpPr/>
      </xdr:nvSpPr>
      <xdr:spPr>
        <a:xfrm>
          <a:off x="4981574" y="20316825"/>
          <a:ext cx="1000125" cy="238125"/>
        </a:xfrm>
        <a:prstGeom prst="rect">
          <a:avLst/>
        </a:prstGeom>
        <a:noFill/>
      </xdr:spPr>
      <xdr:style>
        <a:lnRef idx="2">
          <a:schemeClr val="accent5"/>
        </a:lnRef>
        <a:fillRef idx="1">
          <a:schemeClr val="lt1"/>
        </a:fillRef>
        <a:effectRef idx="0">
          <a:schemeClr val="accent5"/>
        </a:effectRef>
        <a:fontRef idx="minor">
          <a:schemeClr val="dk1"/>
        </a:fontRef>
      </xdr:style>
      <xdr:txBody>
        <a:bodyPr vertOverflow="clip" horzOverflow="clip" rtlCol="0" anchor="t"/>
        <a:lstStyle/>
        <a:p>
          <a:pPr algn="l"/>
          <a:endParaRPr kumimoji="1" lang="ja-JP" alt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xdr:from>
      <xdr:col>6</xdr:col>
      <xdr:colOff>316402</xdr:colOff>
      <xdr:row>2</xdr:row>
      <xdr:rowOff>338523</xdr:rowOff>
    </xdr:from>
    <xdr:to>
      <xdr:col>7</xdr:col>
      <xdr:colOff>116470</xdr:colOff>
      <xdr:row>3</xdr:row>
      <xdr:rowOff>148022</xdr:rowOff>
    </xdr:to>
    <xdr:sp macro="" textlink="">
      <xdr:nvSpPr>
        <xdr:cNvPr id="2" name="十字形 1">
          <a:extLst>
            <a:ext uri="{FF2B5EF4-FFF2-40B4-BE49-F238E27FC236}">
              <a16:creationId xmlns:a16="http://schemas.microsoft.com/office/drawing/2014/main" id="{05EE23FE-D92C-4FE7-999F-CA958296331A}"/>
            </a:ext>
          </a:extLst>
        </xdr:cNvPr>
        <xdr:cNvSpPr/>
      </xdr:nvSpPr>
      <xdr:spPr>
        <a:xfrm>
          <a:off x="4431202" y="709998"/>
          <a:ext cx="485868" cy="152399"/>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277091</xdr:colOff>
      <xdr:row>2</xdr:row>
      <xdr:rowOff>286987</xdr:rowOff>
    </xdr:from>
    <xdr:to>
      <xdr:col>4</xdr:col>
      <xdr:colOff>138630</xdr:colOff>
      <xdr:row>3</xdr:row>
      <xdr:rowOff>130104</xdr:rowOff>
    </xdr:to>
    <xdr:sp macro="" textlink="">
      <xdr:nvSpPr>
        <xdr:cNvPr id="3" name="次の値と等しい 2">
          <a:extLst>
            <a:ext uri="{FF2B5EF4-FFF2-40B4-BE49-F238E27FC236}">
              <a16:creationId xmlns:a16="http://schemas.microsoft.com/office/drawing/2014/main" id="{E02B973F-0415-487D-B510-B908C33EBE06}"/>
            </a:ext>
          </a:extLst>
        </xdr:cNvPr>
        <xdr:cNvSpPr/>
      </xdr:nvSpPr>
      <xdr:spPr>
        <a:xfrm>
          <a:off x="2334491" y="715612"/>
          <a:ext cx="547339" cy="128867"/>
        </a:xfrm>
        <a:prstGeom prst="mathEqual">
          <a:avLst>
            <a:gd name="adj1" fmla="val 8928"/>
            <a:gd name="adj2" fmla="val 21487"/>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9</xdr:col>
      <xdr:colOff>340152</xdr:colOff>
      <xdr:row>2</xdr:row>
      <xdr:rowOff>307845</xdr:rowOff>
    </xdr:from>
    <xdr:to>
      <xdr:col>10</xdr:col>
      <xdr:colOff>140220</xdr:colOff>
      <xdr:row>3</xdr:row>
      <xdr:rowOff>117344</xdr:rowOff>
    </xdr:to>
    <xdr:sp macro="" textlink="">
      <xdr:nvSpPr>
        <xdr:cNvPr id="4" name="十字形 3">
          <a:extLst>
            <a:ext uri="{FF2B5EF4-FFF2-40B4-BE49-F238E27FC236}">
              <a16:creationId xmlns:a16="http://schemas.microsoft.com/office/drawing/2014/main" id="{D556E35D-A51F-43B2-9918-784E417AFDA0}"/>
            </a:ext>
          </a:extLst>
        </xdr:cNvPr>
        <xdr:cNvSpPr/>
      </xdr:nvSpPr>
      <xdr:spPr>
        <a:xfrm>
          <a:off x="6512352" y="717420"/>
          <a:ext cx="485868" cy="114299"/>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336688</xdr:colOff>
      <xdr:row>2</xdr:row>
      <xdr:rowOff>317989</xdr:rowOff>
    </xdr:from>
    <xdr:to>
      <xdr:col>13</xdr:col>
      <xdr:colOff>136757</xdr:colOff>
      <xdr:row>3</xdr:row>
      <xdr:rowOff>127488</xdr:rowOff>
    </xdr:to>
    <xdr:sp macro="" textlink="">
      <xdr:nvSpPr>
        <xdr:cNvPr id="5" name="十字形 4">
          <a:extLst>
            <a:ext uri="{FF2B5EF4-FFF2-40B4-BE49-F238E27FC236}">
              <a16:creationId xmlns:a16="http://schemas.microsoft.com/office/drawing/2014/main" id="{7F43C16F-4E12-47F9-86FA-40DE173F9ACE}"/>
            </a:ext>
          </a:extLst>
        </xdr:cNvPr>
        <xdr:cNvSpPr/>
      </xdr:nvSpPr>
      <xdr:spPr>
        <a:xfrm>
          <a:off x="8566288" y="718039"/>
          <a:ext cx="485869" cy="123824"/>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360438</xdr:colOff>
      <xdr:row>2</xdr:row>
      <xdr:rowOff>314524</xdr:rowOff>
    </xdr:from>
    <xdr:to>
      <xdr:col>16</xdr:col>
      <xdr:colOff>160507</xdr:colOff>
      <xdr:row>3</xdr:row>
      <xdr:rowOff>124023</xdr:rowOff>
    </xdr:to>
    <xdr:sp macro="" textlink="">
      <xdr:nvSpPr>
        <xdr:cNvPr id="6" name="十字形 5">
          <a:extLst>
            <a:ext uri="{FF2B5EF4-FFF2-40B4-BE49-F238E27FC236}">
              <a16:creationId xmlns:a16="http://schemas.microsoft.com/office/drawing/2014/main" id="{84E10F27-932A-4BD8-BB41-C405C3DC40D6}"/>
            </a:ext>
          </a:extLst>
        </xdr:cNvPr>
        <xdr:cNvSpPr/>
      </xdr:nvSpPr>
      <xdr:spPr>
        <a:xfrm>
          <a:off x="10647438" y="714574"/>
          <a:ext cx="485869" cy="123824"/>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323574</xdr:colOff>
      <xdr:row>6</xdr:row>
      <xdr:rowOff>311061</xdr:rowOff>
    </xdr:from>
    <xdr:to>
      <xdr:col>16</xdr:col>
      <xdr:colOff>123643</xdr:colOff>
      <xdr:row>7</xdr:row>
      <xdr:rowOff>120561</xdr:rowOff>
    </xdr:to>
    <xdr:sp macro="" textlink="">
      <xdr:nvSpPr>
        <xdr:cNvPr id="7" name="十字形 6">
          <a:extLst>
            <a:ext uri="{FF2B5EF4-FFF2-40B4-BE49-F238E27FC236}">
              <a16:creationId xmlns:a16="http://schemas.microsoft.com/office/drawing/2014/main" id="{C2B413D4-0758-41DE-886D-D57023BD76BA}"/>
            </a:ext>
          </a:extLst>
        </xdr:cNvPr>
        <xdr:cNvSpPr/>
      </xdr:nvSpPr>
      <xdr:spPr>
        <a:xfrm>
          <a:off x="10610574" y="1425486"/>
          <a:ext cx="485869" cy="123825"/>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333716</xdr:colOff>
      <xdr:row>6</xdr:row>
      <xdr:rowOff>301412</xdr:rowOff>
    </xdr:from>
    <xdr:to>
      <xdr:col>13</xdr:col>
      <xdr:colOff>133785</xdr:colOff>
      <xdr:row>7</xdr:row>
      <xdr:rowOff>110912</xdr:rowOff>
    </xdr:to>
    <xdr:sp macro="" textlink="">
      <xdr:nvSpPr>
        <xdr:cNvPr id="8" name="十字形 7">
          <a:extLst>
            <a:ext uri="{FF2B5EF4-FFF2-40B4-BE49-F238E27FC236}">
              <a16:creationId xmlns:a16="http://schemas.microsoft.com/office/drawing/2014/main" id="{1ED63742-2EB9-42B5-AC6E-47098E79B51E}"/>
            </a:ext>
          </a:extLst>
        </xdr:cNvPr>
        <xdr:cNvSpPr/>
      </xdr:nvSpPr>
      <xdr:spPr>
        <a:xfrm>
          <a:off x="8563316" y="1425362"/>
          <a:ext cx="485869" cy="114300"/>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303038</xdr:colOff>
      <xdr:row>6</xdr:row>
      <xdr:rowOff>318978</xdr:rowOff>
    </xdr:from>
    <xdr:to>
      <xdr:col>10</xdr:col>
      <xdr:colOff>103106</xdr:colOff>
      <xdr:row>7</xdr:row>
      <xdr:rowOff>128478</xdr:rowOff>
    </xdr:to>
    <xdr:sp macro="" textlink="">
      <xdr:nvSpPr>
        <xdr:cNvPr id="9" name="十字形 8">
          <a:extLst>
            <a:ext uri="{FF2B5EF4-FFF2-40B4-BE49-F238E27FC236}">
              <a16:creationId xmlns:a16="http://schemas.microsoft.com/office/drawing/2014/main" id="{5E1036C5-4D97-4DEA-A9D9-AAE25D838D10}"/>
            </a:ext>
          </a:extLst>
        </xdr:cNvPr>
        <xdr:cNvSpPr/>
      </xdr:nvSpPr>
      <xdr:spPr>
        <a:xfrm>
          <a:off x="6475238" y="1433403"/>
          <a:ext cx="485868" cy="123825"/>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313180</xdr:colOff>
      <xdr:row>6</xdr:row>
      <xdr:rowOff>322937</xdr:rowOff>
    </xdr:from>
    <xdr:to>
      <xdr:col>7</xdr:col>
      <xdr:colOff>113248</xdr:colOff>
      <xdr:row>7</xdr:row>
      <xdr:rowOff>132437</xdr:rowOff>
    </xdr:to>
    <xdr:sp macro="" textlink="">
      <xdr:nvSpPr>
        <xdr:cNvPr id="10" name="十字形 9">
          <a:extLst>
            <a:ext uri="{FF2B5EF4-FFF2-40B4-BE49-F238E27FC236}">
              <a16:creationId xmlns:a16="http://schemas.microsoft.com/office/drawing/2014/main" id="{EC259D2E-CC4B-4491-BBE5-7385BE69EB62}"/>
            </a:ext>
          </a:extLst>
        </xdr:cNvPr>
        <xdr:cNvSpPr/>
      </xdr:nvSpPr>
      <xdr:spPr>
        <a:xfrm>
          <a:off x="4427980" y="1427837"/>
          <a:ext cx="485868" cy="133350"/>
        </a:xfrm>
        <a:prstGeom prst="plus">
          <a:avLst>
            <a:gd name="adj" fmla="val 44966"/>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273628</xdr:colOff>
      <xdr:row>6</xdr:row>
      <xdr:rowOff>184563</xdr:rowOff>
    </xdr:from>
    <xdr:to>
      <xdr:col>4</xdr:col>
      <xdr:colOff>135167</xdr:colOff>
      <xdr:row>7</xdr:row>
      <xdr:rowOff>27681</xdr:rowOff>
    </xdr:to>
    <xdr:sp macro="" textlink="">
      <xdr:nvSpPr>
        <xdr:cNvPr id="11" name="次の値と等しい 10">
          <a:extLst>
            <a:ext uri="{FF2B5EF4-FFF2-40B4-BE49-F238E27FC236}">
              <a16:creationId xmlns:a16="http://schemas.microsoft.com/office/drawing/2014/main" id="{38033CEB-0E91-4A52-A5CD-E422B083C0BB}"/>
            </a:ext>
          </a:extLst>
        </xdr:cNvPr>
        <xdr:cNvSpPr/>
      </xdr:nvSpPr>
      <xdr:spPr>
        <a:xfrm>
          <a:off x="2331028" y="1375188"/>
          <a:ext cx="547339" cy="81243"/>
        </a:xfrm>
        <a:prstGeom prst="mathEqual">
          <a:avLst>
            <a:gd name="adj1" fmla="val 8928"/>
            <a:gd name="adj2" fmla="val 21487"/>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8</xdr:col>
      <xdr:colOff>353785</xdr:colOff>
      <xdr:row>8</xdr:row>
      <xdr:rowOff>54429</xdr:rowOff>
    </xdr:from>
    <xdr:to>
      <xdr:col>8</xdr:col>
      <xdr:colOff>1823357</xdr:colOff>
      <xdr:row>9</xdr:row>
      <xdr:rowOff>108857</xdr:rowOff>
    </xdr:to>
    <xdr:sp macro="" textlink="">
      <xdr:nvSpPr>
        <xdr:cNvPr id="12" name="矢印: 下 11">
          <a:extLst>
            <a:ext uri="{FF2B5EF4-FFF2-40B4-BE49-F238E27FC236}">
              <a16:creationId xmlns:a16="http://schemas.microsoft.com/office/drawing/2014/main" id="{6D0CCF8F-999D-4D5F-B3E4-90F73D90D7D8}"/>
            </a:ext>
          </a:extLst>
        </xdr:cNvPr>
        <xdr:cNvSpPr/>
      </xdr:nvSpPr>
      <xdr:spPr>
        <a:xfrm>
          <a:off x="5840185" y="1721304"/>
          <a:ext cx="336097" cy="292553"/>
        </a:xfrm>
        <a:prstGeom prst="downArrow">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2000"/>
            <a:t>内訳</a:t>
          </a:r>
        </a:p>
      </xdr:txBody>
    </xdr:sp>
    <xdr:clientData/>
  </xdr:twoCellAnchor>
  <xdr:twoCellAnchor>
    <xdr:from>
      <xdr:col>11</xdr:col>
      <xdr:colOff>424543</xdr:colOff>
      <xdr:row>8</xdr:row>
      <xdr:rowOff>43543</xdr:rowOff>
    </xdr:from>
    <xdr:to>
      <xdr:col>11</xdr:col>
      <xdr:colOff>1894115</xdr:colOff>
      <xdr:row>9</xdr:row>
      <xdr:rowOff>97971</xdr:rowOff>
    </xdr:to>
    <xdr:sp macro="" textlink="">
      <xdr:nvSpPr>
        <xdr:cNvPr id="13" name="矢印: 下 12">
          <a:extLst>
            <a:ext uri="{FF2B5EF4-FFF2-40B4-BE49-F238E27FC236}">
              <a16:creationId xmlns:a16="http://schemas.microsoft.com/office/drawing/2014/main" id="{AD42991E-D260-4F00-9336-8236500F1159}"/>
            </a:ext>
          </a:extLst>
        </xdr:cNvPr>
        <xdr:cNvSpPr/>
      </xdr:nvSpPr>
      <xdr:spPr>
        <a:xfrm>
          <a:off x="7968343" y="1710418"/>
          <a:ext cx="259897" cy="292553"/>
        </a:xfrm>
        <a:prstGeom prst="downArrow">
          <a:avLst/>
        </a:prstGeom>
        <a:solidFill>
          <a:schemeClr val="accent2">
            <a:lumMod val="20000"/>
            <a:lumOff val="80000"/>
          </a:schemeClr>
        </a:solidFill>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r>
            <a:rPr kumimoji="1" lang="ja-JP" altLang="en-US" sz="2000"/>
            <a:t>内訳</a:t>
          </a:r>
        </a:p>
      </xdr:txBody>
    </xdr:sp>
    <xdr:clientData/>
  </xdr:twoCellAnchor>
</xdr:wsDr>
</file>

<file path=xl/externalLinks/_rels/externalLink1.xml.rels><?xml version="1.0" encoding="UTF-8" standalone="yes"?>
<Relationships xmlns="http://schemas.openxmlformats.org/package/2006/relationships"><Relationship Id="rId2" Type="http://schemas.openxmlformats.org/officeDocument/2006/relationships/externalLinkPath" Target="https://d.docs.live.net/951bde4d8205714a/&#9670;&#39378;&#23492;&#9670;/&#9733;&#20250;&#35336;&#9733;/&#9315;&#31085;&#31036;&#20250;&#35336;/&#20196;&#21644;1&#24180;&#24230;/200331&#9325;&#9326;&#31085;&#31036;&#20250;&#35336;&#20986;&#32013;&#31807;&#65288;&#20253;&#31080;&#30058;&#21495;&#38918;&#12539;&#12467;&#12540;&#12489;&#38918;&#65289;.xlsx" TargetMode="External"/><Relationship Id="rId1" Type="http://schemas.openxmlformats.org/officeDocument/2006/relationships/externalLinkPath" Target="/951bde4d8205714a/&#9670;&#39378;&#23492;&#9670;/&#9733;&#20250;&#35336;&#9733;/&#9315;&#31085;&#31036;&#20250;&#35336;/&#20196;&#21644;1&#24180;&#24230;/200331&#9325;&#9326;&#31085;&#31036;&#20250;&#35336;&#20986;&#32013;&#31807;&#65288;&#20253;&#31080;&#30058;&#21495;&#38918;&#12539;&#12467;&#12540;&#12489;&#38918;&#65289;.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xxl21:alternateUrls>
      <xxl21:absoluteUrl r:id="rId2"/>
    </xxl21:alternateUrls>
    <sheetNames>
      <sheetName val="⑭祭礼会計出納簿"/>
      <sheetName val="⑮祭礼会計出納簿コード順"/>
      <sheetName val="2020-03-09記帳"/>
    </sheetNames>
    <sheetDataSet>
      <sheetData sheetId="0">
        <row r="1">
          <cell r="H1" t="str">
            <v>2020/3/31 現在</v>
          </cell>
        </row>
        <row r="2">
          <cell r="A2" t="str">
            <v>令和元年度　駒寄町内会　祭礼会計出納簿　(平成30年9月1日～令和2年3月31日)</v>
          </cell>
        </row>
      </sheetData>
      <sheetData sheetId="1"/>
      <sheetData sheetId="2"/>
    </sheetDataSet>
  </externalBook>
</externalLink>
</file>

<file path=xl/persons/person.xml><?xml version="1.0" encoding="utf-8"?>
<personList xmlns="http://schemas.microsoft.com/office/spreadsheetml/2018/threadedcomments" xmlns:x="http://schemas.openxmlformats.org/spreadsheetml/2006/main">
  <person displayName="橋本 岳" id="{0E580B20-CFC0-498E-B3BA-D30B8AD7833C}" userId="951bde4d8205714a" providerId="Windows Live"/>
</personList>
</file>

<file path=xl/theme/theme1.xml><?xml version="1.0" encoding="utf-8"?>
<a:theme xmlns:a="http://schemas.openxmlformats.org/drawingml/2006/main" name="Office Theme 2007 - 2010">
  <a:themeElements>
    <a:clrScheme name="Office 2007 - 2010">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2007 - 2010">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2007 - 2010">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threadedComments/threadedComment1.xml><?xml version="1.0" encoding="utf-8"?>
<ThreadedComments xmlns="http://schemas.microsoft.com/office/spreadsheetml/2018/threadedcomments" xmlns:x="http://schemas.openxmlformats.org/spreadsheetml/2006/main">
  <threadedComment ref="A88" dT="2023-04-12T15:27:51.80" personId="{0E580B20-CFC0-498E-B3BA-D30B8AD7833C}" id="{1CB098A3-10A5-4320-B9FE-1DE03032862D}">
    <text xml:space="preserve">★今後の改善点
・会計内のお金の移動を集計に含まない方法の検討。（繰越金を含まない収支と差額を出すため。）
・コミュニティコードを細分化し、コミュニティ補助金対象項目を抽出する。（「Co」列、「集計」列の削除。）
</text>
  </threadedComment>
</ThreadedComments>
</file>

<file path=xl/threadedComments/threadedComment2.xml><?xml version="1.0" encoding="utf-8"?>
<ThreadedComments xmlns="http://schemas.microsoft.com/office/spreadsheetml/2018/threadedcomments" xmlns:x="http://schemas.openxmlformats.org/spreadsheetml/2006/main">
  <threadedComment ref="A92" dT="2023-04-12T15:27:51.80" personId="{0E580B20-CFC0-498E-B3BA-D30B8AD7833C}" id="{9EEE9A31-E8E4-4221-A352-624619B40579}">
    <text xml:space="preserve">★今後の改善点
・会計内のお金の移動を集計に含まない方法の検討。（繰越金を含まない収支と差額を出すため。）
・コミュニティコードを細分化し、コミュニティ補助金対象項目を抽出する。（「Co」列、「集計」列の削除。）
</text>
  </threadedComment>
</ThreadedComments>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8.bin"/></Relationships>
</file>

<file path=xl/worksheets/_rels/sheet12.xml.rels><?xml version="1.0" encoding="UTF-8" standalone="yes"?>
<Relationships xmlns="http://schemas.openxmlformats.org/package/2006/relationships"><Relationship Id="rId1" Type="http://schemas.openxmlformats.org/officeDocument/2006/relationships/printerSettings" Target="../printerSettings/printerSettings9.bin"/></Relationships>
</file>

<file path=xl/worksheets/_rels/sheet13.xml.rels><?xml version="1.0" encoding="UTF-8" standalone="yes"?>
<Relationships xmlns="http://schemas.openxmlformats.org/package/2006/relationships"><Relationship Id="rId1" Type="http://schemas.openxmlformats.org/officeDocument/2006/relationships/printerSettings" Target="../printerSettings/printerSettings10.bin"/></Relationships>
</file>

<file path=xl/worksheets/_rels/sheet14.xml.rels><?xml version="1.0" encoding="UTF-8" standalone="yes"?>
<Relationships xmlns="http://schemas.openxmlformats.org/package/2006/relationships"><Relationship Id="rId1" Type="http://schemas.openxmlformats.org/officeDocument/2006/relationships/printerSettings" Target="../printerSettings/printerSettings11.bin"/></Relationships>
</file>

<file path=xl/worksheets/_rels/sheet3.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1.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printerSettings" Target="../printerSettings/printerSettings3.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7.xml.rels><?xml version="1.0" encoding="UTF-8" standalone="yes"?>
<Relationships xmlns="http://schemas.openxmlformats.org/package/2006/relationships"><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3" Type="http://schemas.openxmlformats.org/officeDocument/2006/relationships/comments" Target="../comments2.xml"/><Relationship Id="rId2" Type="http://schemas.openxmlformats.org/officeDocument/2006/relationships/vmlDrawing" Target="../drawings/vmlDrawing2.vml"/><Relationship Id="rId1" Type="http://schemas.openxmlformats.org/officeDocument/2006/relationships/printerSettings" Target="../printerSettings/printerSettings7.bin"/><Relationship Id="rId4" Type="http://schemas.microsoft.com/office/2017/10/relationships/threadedComment" Target="../threadedComments/threadedComment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D19953F-ED82-EA44-95B2-502CF5386119}">
  <dimension ref="A1"/>
  <sheetViews>
    <sheetView topLeftCell="A10" workbookViewId="0">
      <selection activeCell="E59" sqref="E59"/>
    </sheetView>
  </sheetViews>
  <sheetFormatPr defaultColWidth="11" defaultRowHeight="13.5" x14ac:dyDescent="0.15"/>
  <sheetData/>
  <phoneticPr fontId="2"/>
  <pageMargins left="0.7" right="0.7" top="0.75" bottom="0.75" header="0.3" footer="0.3"/>
  <pageSetup paperSize="9" orientation="landscape" horizontalDpi="0" verticalDpi="0"/>
  <drawing r:id="rId1"/>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13C179A-F75C-4B43-BCC1-F939AAD86BA7}">
  <dimension ref="J109:J121"/>
  <sheetViews>
    <sheetView topLeftCell="A103" workbookViewId="0">
      <selection activeCell="J118" sqref="J118"/>
    </sheetView>
  </sheetViews>
  <sheetFormatPr defaultRowHeight="13.5" x14ac:dyDescent="0.15"/>
  <sheetData>
    <row r="109" ht="20.25" customHeight="1" x14ac:dyDescent="0.15"/>
    <row r="110" ht="15" customHeight="1" x14ac:dyDescent="0.15"/>
    <row r="111" ht="15" customHeight="1" x14ac:dyDescent="0.15"/>
    <row r="117" spans="10:10" x14ac:dyDescent="0.15">
      <c r="J117" t="s">
        <v>637</v>
      </c>
    </row>
    <row r="119" spans="10:10" ht="15" customHeight="1" x14ac:dyDescent="0.15">
      <c r="J119" t="s">
        <v>636</v>
      </c>
    </row>
    <row r="120" spans="10:10" ht="18" customHeight="1" x14ac:dyDescent="0.15">
      <c r="J120" t="s">
        <v>635</v>
      </c>
    </row>
    <row r="121" spans="10:10" ht="15.75" customHeight="1" x14ac:dyDescent="0.15">
      <c r="J121" t="s">
        <v>635</v>
      </c>
    </row>
  </sheetData>
  <phoneticPr fontId="2"/>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FBA95A3-580E-4E87-BD5E-C25195EB22E6}">
  <sheetPr>
    <pageSetUpPr fitToPage="1"/>
  </sheetPr>
  <dimension ref="A2:S94"/>
  <sheetViews>
    <sheetView topLeftCell="C1" zoomScale="70" zoomScaleNormal="70" workbookViewId="0">
      <selection activeCell="I40" sqref="I40"/>
    </sheetView>
  </sheetViews>
  <sheetFormatPr defaultRowHeight="35.1" customHeight="1" x14ac:dyDescent="0.55000000000000004"/>
  <cols>
    <col min="1" max="1" width="8" style="163" customWidth="1"/>
    <col min="2" max="2" width="10.625" style="164" customWidth="1"/>
    <col min="3" max="3" width="20.625" style="163" customWidth="1"/>
    <col min="4" max="5" width="5.625" style="163" customWidth="1"/>
    <col min="6" max="6" width="30.625" style="164" customWidth="1"/>
    <col min="7" max="8" width="5.625" style="163" customWidth="1"/>
    <col min="9" max="9" width="30.625" style="164" customWidth="1"/>
    <col min="10" max="11" width="5.625" style="163" customWidth="1"/>
    <col min="12" max="12" width="30.625" style="164" customWidth="1"/>
    <col min="13" max="14" width="5.625" style="163" customWidth="1"/>
    <col min="15" max="15" width="30.625" style="164" customWidth="1"/>
    <col min="16" max="17" width="5.625" style="163" customWidth="1"/>
    <col min="18" max="18" width="30.625" style="164" customWidth="1"/>
    <col min="19" max="19" width="5.625" style="163" customWidth="1"/>
    <col min="20" max="16384" width="9" style="163"/>
  </cols>
  <sheetData>
    <row r="2" spans="1:19" ht="35.1" customHeight="1" x14ac:dyDescent="0.55000000000000004">
      <c r="F2" s="207" t="s">
        <v>391</v>
      </c>
      <c r="I2" s="207" t="s">
        <v>342</v>
      </c>
      <c r="L2" s="207" t="s">
        <v>341</v>
      </c>
      <c r="O2" s="207" t="s">
        <v>340</v>
      </c>
    </row>
    <row r="3" spans="1:19" ht="35.1" customHeight="1" x14ac:dyDescent="0.55000000000000004">
      <c r="B3" s="374" t="s">
        <v>339</v>
      </c>
      <c r="C3" s="375">
        <f>SUM(F4:R4)</f>
        <v>1777121</v>
      </c>
      <c r="E3" s="206"/>
      <c r="F3" s="205" t="s">
        <v>338</v>
      </c>
      <c r="I3" s="205" t="s">
        <v>337</v>
      </c>
      <c r="L3" s="205" t="s">
        <v>336</v>
      </c>
      <c r="O3" s="205" t="s">
        <v>335</v>
      </c>
      <c r="R3" s="205" t="s">
        <v>334</v>
      </c>
    </row>
    <row r="4" spans="1:19" s="203" customFormat="1" ht="35.1" customHeight="1" x14ac:dyDescent="0.15">
      <c r="B4" s="374"/>
      <c r="C4" s="375"/>
      <c r="F4" s="202">
        <f>令和５年度日付順!J4+令和５年度日付順!J5</f>
        <v>856821</v>
      </c>
      <c r="I4" s="166">
        <v>540500</v>
      </c>
      <c r="L4" s="166">
        <f>158000+10000+2800</f>
        <v>170800</v>
      </c>
      <c r="O4" s="166">
        <v>209000</v>
      </c>
      <c r="R4" s="202">
        <v>0</v>
      </c>
    </row>
    <row r="5" spans="1:19" ht="35.1" customHeight="1" x14ac:dyDescent="0.55000000000000004">
      <c r="B5" s="201" t="s">
        <v>327</v>
      </c>
      <c r="C5" s="200">
        <f>C3-F4</f>
        <v>920300</v>
      </c>
      <c r="I5" s="163"/>
      <c r="L5" s="214" t="s">
        <v>390</v>
      </c>
      <c r="O5" s="204"/>
    </row>
    <row r="6" spans="1:19" ht="9.75" customHeight="1" x14ac:dyDescent="0.55000000000000004">
      <c r="B6" s="201"/>
      <c r="C6" s="200"/>
      <c r="H6" s="193"/>
      <c r="I6" s="193"/>
      <c r="J6" s="193"/>
      <c r="K6" s="168"/>
      <c r="L6" s="169"/>
      <c r="M6" s="168"/>
      <c r="N6" s="164"/>
      <c r="O6" s="204"/>
    </row>
    <row r="7" spans="1:19" ht="35.1" customHeight="1" x14ac:dyDescent="0.55000000000000004">
      <c r="B7" s="376" t="s">
        <v>333</v>
      </c>
      <c r="C7" s="375">
        <f>C3</f>
        <v>1777121</v>
      </c>
      <c r="F7" s="173" t="s">
        <v>332</v>
      </c>
      <c r="H7" s="193"/>
      <c r="I7" s="191" t="s">
        <v>331</v>
      </c>
      <c r="J7" s="193"/>
      <c r="K7" s="168"/>
      <c r="L7" s="191" t="s">
        <v>330</v>
      </c>
      <c r="M7" s="168"/>
      <c r="O7" s="179" t="s">
        <v>329</v>
      </c>
      <c r="R7" s="173" t="s">
        <v>328</v>
      </c>
    </row>
    <row r="8" spans="1:19" ht="35.1" customHeight="1" x14ac:dyDescent="0.55000000000000004">
      <c r="A8" s="203"/>
      <c r="B8" s="376"/>
      <c r="C8" s="375"/>
      <c r="D8" s="203"/>
      <c r="F8" s="261">
        <f>C7-SUM(I8:R8)</f>
        <v>846579</v>
      </c>
      <c r="H8" s="193"/>
      <c r="I8" s="190">
        <f>SUM(I11:I21)</f>
        <v>27000</v>
      </c>
      <c r="J8" s="193"/>
      <c r="K8" s="168"/>
      <c r="L8" s="190">
        <f>SUM(L11:L86)+SUM(R14:R30)</f>
        <v>757542</v>
      </c>
      <c r="M8" s="168"/>
      <c r="O8" s="190">
        <v>146000</v>
      </c>
      <c r="R8" s="202">
        <v>0</v>
      </c>
    </row>
    <row r="9" spans="1:19" ht="40.5" customHeight="1" x14ac:dyDescent="0.55000000000000004">
      <c r="B9" s="201" t="s">
        <v>327</v>
      </c>
      <c r="C9" s="200">
        <f>C7-F8</f>
        <v>930542</v>
      </c>
      <c r="F9" s="262">
        <f>F8-F4</f>
        <v>-10242</v>
      </c>
    </row>
    <row r="10" spans="1:19" ht="9.9499999999999993" customHeight="1" x14ac:dyDescent="0.55000000000000004">
      <c r="F10" s="163"/>
      <c r="H10" s="193"/>
      <c r="I10" s="194"/>
      <c r="J10" s="193"/>
      <c r="K10" s="168"/>
      <c r="L10" s="169"/>
      <c r="M10" s="168"/>
      <c r="N10" s="168"/>
      <c r="O10" s="169"/>
      <c r="P10" s="168"/>
    </row>
    <row r="11" spans="1:19" ht="35.1" customHeight="1" x14ac:dyDescent="0.55000000000000004">
      <c r="F11" s="210"/>
      <c r="H11" s="193"/>
      <c r="I11" s="173" t="s">
        <v>326</v>
      </c>
      <c r="J11" s="193"/>
      <c r="K11" s="168"/>
      <c r="L11" s="189" t="s">
        <v>325</v>
      </c>
      <c r="M11" s="181"/>
      <c r="N11" s="180"/>
      <c r="O11" s="191" t="s">
        <v>373</v>
      </c>
      <c r="P11" s="168"/>
    </row>
    <row r="12" spans="1:19" ht="35.1" customHeight="1" x14ac:dyDescent="0.55000000000000004">
      <c r="B12" s="199" t="s">
        <v>324</v>
      </c>
      <c r="C12" s="198">
        <f>C3-C7</f>
        <v>0</v>
      </c>
      <c r="F12" s="163"/>
      <c r="H12" s="259"/>
      <c r="I12" s="166">
        <f>令和５年度日付順!I14</f>
        <v>2000</v>
      </c>
      <c r="J12" s="193"/>
      <c r="K12" s="168"/>
      <c r="L12" s="178">
        <f>SUM(O11:O15)</f>
        <v>22302</v>
      </c>
      <c r="M12" s="176"/>
      <c r="N12" s="176"/>
      <c r="O12" s="166">
        <v>12302</v>
      </c>
      <c r="P12" s="168" t="s">
        <v>372</v>
      </c>
    </row>
    <row r="13" spans="1:19" ht="9.9499999999999993" customHeight="1" x14ac:dyDescent="0.55000000000000004">
      <c r="F13" s="163"/>
      <c r="H13" s="193"/>
      <c r="I13" s="194"/>
      <c r="J13" s="193"/>
      <c r="K13" s="168"/>
      <c r="L13" s="212"/>
      <c r="M13" s="168"/>
      <c r="N13" s="175"/>
      <c r="O13" s="169"/>
      <c r="P13" s="168"/>
      <c r="Q13" s="168"/>
      <c r="R13" s="169"/>
      <c r="S13" s="168"/>
    </row>
    <row r="14" spans="1:19" ht="35.1" customHeight="1" x14ac:dyDescent="0.55000000000000004">
      <c r="F14" s="163"/>
      <c r="H14" s="193"/>
      <c r="I14" s="173" t="s">
        <v>323</v>
      </c>
      <c r="J14" s="193"/>
      <c r="K14" s="168"/>
      <c r="L14" s="212"/>
      <c r="M14" s="168"/>
      <c r="N14" s="174"/>
      <c r="O14" s="260" t="s">
        <v>610</v>
      </c>
      <c r="P14" s="168"/>
      <c r="Q14" s="168"/>
      <c r="R14" s="188" t="s">
        <v>389</v>
      </c>
      <c r="S14" s="168"/>
    </row>
    <row r="15" spans="1:19" ht="35.1" customHeight="1" x14ac:dyDescent="0.55000000000000004">
      <c r="C15" s="210"/>
      <c r="F15" s="163"/>
      <c r="H15" s="193"/>
      <c r="I15" s="166">
        <v>10000</v>
      </c>
      <c r="J15" s="193"/>
      <c r="K15" s="168"/>
      <c r="L15" s="212"/>
      <c r="M15" s="168"/>
      <c r="N15" s="168"/>
      <c r="O15" s="166">
        <v>10000</v>
      </c>
      <c r="P15" s="168" t="s">
        <v>322</v>
      </c>
      <c r="Q15" s="168"/>
      <c r="R15" s="178">
        <v>31473</v>
      </c>
      <c r="S15" s="168"/>
    </row>
    <row r="16" spans="1:19" ht="9.9499999999999993" customHeight="1" x14ac:dyDescent="0.55000000000000004">
      <c r="F16" s="163"/>
      <c r="H16" s="193"/>
      <c r="I16" s="194"/>
      <c r="J16" s="193"/>
      <c r="K16" s="168"/>
      <c r="L16" s="212"/>
      <c r="M16" s="168"/>
      <c r="N16" s="168"/>
      <c r="O16" s="169"/>
      <c r="P16" s="168"/>
      <c r="Q16" s="168"/>
      <c r="R16" s="212"/>
      <c r="S16" s="168"/>
    </row>
    <row r="17" spans="6:19" ht="35.1" customHeight="1" x14ac:dyDescent="0.55000000000000004">
      <c r="F17" s="163"/>
      <c r="H17" s="193"/>
      <c r="I17" s="173" t="s">
        <v>321</v>
      </c>
      <c r="J17" s="193"/>
      <c r="K17" s="168"/>
      <c r="L17" s="189" t="s">
        <v>320</v>
      </c>
      <c r="M17" s="182"/>
      <c r="N17" s="180"/>
      <c r="O17" s="173" t="s">
        <v>319</v>
      </c>
      <c r="P17" s="168"/>
      <c r="Q17" s="168"/>
      <c r="R17" s="189" t="s">
        <v>384</v>
      </c>
      <c r="S17" s="168"/>
    </row>
    <row r="18" spans="6:19" ht="35.1" customHeight="1" x14ac:dyDescent="0.55000000000000004">
      <c r="H18" s="193"/>
      <c r="I18" s="166">
        <v>15000</v>
      </c>
      <c r="J18" s="193"/>
      <c r="K18" s="168"/>
      <c r="L18" s="190">
        <f>SUM(O17:O35)</f>
        <v>57449</v>
      </c>
      <c r="M18" s="168"/>
      <c r="N18" s="197"/>
      <c r="O18" s="166">
        <v>0</v>
      </c>
      <c r="P18" s="168" t="s">
        <v>318</v>
      </c>
      <c r="Q18" s="168"/>
      <c r="R18" s="209">
        <v>5500</v>
      </c>
      <c r="S18" s="168" t="s">
        <v>385</v>
      </c>
    </row>
    <row r="19" spans="6:19" ht="9.9499999999999993" customHeight="1" x14ac:dyDescent="0.55000000000000004">
      <c r="H19" s="193"/>
      <c r="I19" s="194"/>
      <c r="J19" s="193"/>
      <c r="K19" s="168"/>
      <c r="L19" s="196"/>
      <c r="M19" s="168"/>
      <c r="N19" s="175"/>
      <c r="O19" s="169"/>
      <c r="P19" s="168"/>
      <c r="Q19" s="168"/>
      <c r="R19" s="213"/>
      <c r="S19" s="168"/>
    </row>
    <row r="20" spans="6:19" ht="35.1" customHeight="1" x14ac:dyDescent="0.55000000000000004">
      <c r="H20" s="193"/>
      <c r="I20" s="191" t="s">
        <v>315</v>
      </c>
      <c r="J20" s="193"/>
      <c r="K20" s="195"/>
      <c r="L20" s="169"/>
      <c r="M20" s="168"/>
      <c r="N20" s="174"/>
      <c r="O20" s="173" t="s">
        <v>317</v>
      </c>
      <c r="P20" s="168"/>
      <c r="Q20" s="168"/>
      <c r="R20" s="179" t="s">
        <v>388</v>
      </c>
      <c r="S20" s="168"/>
    </row>
    <row r="21" spans="6:19" ht="35.1" customHeight="1" x14ac:dyDescent="0.55000000000000004">
      <c r="H21" s="193"/>
      <c r="I21" s="166">
        <v>0</v>
      </c>
      <c r="J21" s="193"/>
      <c r="K21" s="168"/>
      <c r="L21" s="169"/>
      <c r="M21" s="168"/>
      <c r="N21" s="175"/>
      <c r="O21" s="166">
        <v>0</v>
      </c>
      <c r="P21" s="168" t="s">
        <v>316</v>
      </c>
      <c r="Q21" s="168"/>
      <c r="R21" s="190">
        <f>20000+2285</f>
        <v>22285</v>
      </c>
      <c r="S21" s="165"/>
    </row>
    <row r="22" spans="6:19" ht="9.9499999999999993" customHeight="1" x14ac:dyDescent="0.55000000000000004">
      <c r="H22" s="193"/>
      <c r="I22" s="194"/>
      <c r="J22" s="193"/>
      <c r="K22" s="168"/>
      <c r="L22" s="169"/>
      <c r="M22" s="168"/>
      <c r="N22" s="175"/>
      <c r="O22" s="169"/>
      <c r="P22" s="168"/>
      <c r="Q22" s="168"/>
      <c r="R22" s="213"/>
      <c r="S22" s="168"/>
    </row>
    <row r="23" spans="6:19" ht="35.1" customHeight="1" x14ac:dyDescent="0.55000000000000004">
      <c r="K23" s="168"/>
      <c r="L23" s="169"/>
      <c r="M23" s="168"/>
      <c r="N23" s="174"/>
      <c r="O23" s="173" t="s">
        <v>314</v>
      </c>
      <c r="P23" s="168" t="s">
        <v>374</v>
      </c>
      <c r="Q23" s="168"/>
      <c r="R23" s="179" t="s">
        <v>387</v>
      </c>
      <c r="S23" s="168"/>
    </row>
    <row r="24" spans="6:19" ht="35.1" customHeight="1" x14ac:dyDescent="0.55000000000000004">
      <c r="K24" s="168"/>
      <c r="L24" s="169"/>
      <c r="M24" s="168"/>
      <c r="N24" s="175"/>
      <c r="O24" s="166">
        <v>0</v>
      </c>
      <c r="P24" s="168" t="s">
        <v>366</v>
      </c>
      <c r="Q24" s="168"/>
      <c r="R24" s="190">
        <f>2970+2650</f>
        <v>5620</v>
      </c>
      <c r="S24" s="165"/>
    </row>
    <row r="25" spans="6:19" ht="9.9499999999999993" customHeight="1" x14ac:dyDescent="0.55000000000000004">
      <c r="K25" s="168"/>
      <c r="L25" s="169"/>
      <c r="M25" s="168"/>
      <c r="N25" s="175"/>
      <c r="O25" s="169"/>
      <c r="P25" s="168"/>
      <c r="Q25" s="168"/>
      <c r="R25" s="213"/>
      <c r="S25" s="168"/>
    </row>
    <row r="26" spans="6:19" ht="35.1" customHeight="1" x14ac:dyDescent="0.55000000000000004">
      <c r="K26" s="168"/>
      <c r="L26" s="169"/>
      <c r="M26" s="168"/>
      <c r="N26" s="174"/>
      <c r="O26" s="173" t="s">
        <v>313</v>
      </c>
      <c r="P26" s="168"/>
      <c r="Q26" s="168"/>
      <c r="R26" s="179" t="s">
        <v>609</v>
      </c>
      <c r="S26" s="168"/>
    </row>
    <row r="27" spans="6:19" ht="35.1" customHeight="1" x14ac:dyDescent="0.55000000000000004">
      <c r="K27" s="168"/>
      <c r="L27" s="169"/>
      <c r="M27" s="168"/>
      <c r="N27" s="175"/>
      <c r="O27" s="166">
        <v>22809</v>
      </c>
      <c r="P27" s="168" t="s">
        <v>365</v>
      </c>
      <c r="Q27" s="168"/>
      <c r="R27" s="190">
        <f>2360</f>
        <v>2360</v>
      </c>
      <c r="S27" s="165"/>
    </row>
    <row r="28" spans="6:19" ht="9.9499999999999993" customHeight="1" x14ac:dyDescent="0.55000000000000004">
      <c r="K28" s="168"/>
      <c r="L28" s="169"/>
      <c r="M28" s="168"/>
      <c r="N28" s="175"/>
      <c r="O28" s="169"/>
      <c r="P28" s="168"/>
      <c r="Q28" s="168"/>
      <c r="R28" s="212"/>
      <c r="S28" s="168"/>
    </row>
    <row r="29" spans="6:19" ht="35.1" customHeight="1" x14ac:dyDescent="0.55000000000000004">
      <c r="K29" s="168"/>
      <c r="L29" s="169"/>
      <c r="M29" s="168"/>
      <c r="N29" s="174"/>
      <c r="O29" s="173" t="s">
        <v>312</v>
      </c>
      <c r="P29" s="168"/>
      <c r="Q29" s="168"/>
      <c r="R29" s="179" t="s">
        <v>386</v>
      </c>
      <c r="S29" s="168"/>
    </row>
    <row r="30" spans="6:19" ht="35.1" customHeight="1" x14ac:dyDescent="0.55000000000000004">
      <c r="K30" s="168"/>
      <c r="L30" s="169"/>
      <c r="M30" s="168"/>
      <c r="N30" s="175"/>
      <c r="O30" s="166">
        <v>5862</v>
      </c>
      <c r="P30" s="168"/>
      <c r="Q30" s="168"/>
      <c r="R30" s="190">
        <f>151+140</f>
        <v>291</v>
      </c>
      <c r="S30" s="165" t="s">
        <v>611</v>
      </c>
    </row>
    <row r="31" spans="6:19" ht="9.9499999999999993" customHeight="1" x14ac:dyDescent="0.55000000000000004">
      <c r="K31" s="168"/>
      <c r="L31" s="169"/>
      <c r="M31" s="168"/>
      <c r="N31" s="175"/>
      <c r="O31" s="169"/>
      <c r="P31" s="168"/>
      <c r="Q31" s="168"/>
      <c r="R31" s="169"/>
      <c r="S31" s="168"/>
    </row>
    <row r="32" spans="6:19" ht="35.1" customHeight="1" x14ac:dyDescent="0.55000000000000004">
      <c r="K32" s="168"/>
      <c r="L32" s="169"/>
      <c r="M32" s="168"/>
      <c r="N32" s="174"/>
      <c r="O32" s="173" t="s">
        <v>311</v>
      </c>
      <c r="P32" s="168"/>
    </row>
    <row r="33" spans="11:16" ht="35.1" customHeight="1" x14ac:dyDescent="0.55000000000000004">
      <c r="K33" s="168"/>
      <c r="L33" s="169"/>
      <c r="M33" s="168"/>
      <c r="N33" s="172"/>
      <c r="O33" s="166">
        <v>10000</v>
      </c>
      <c r="P33" s="165" t="s">
        <v>310</v>
      </c>
    </row>
    <row r="34" spans="11:16" ht="35.1" customHeight="1" x14ac:dyDescent="0.55000000000000004">
      <c r="K34" s="168"/>
      <c r="L34" s="169"/>
      <c r="M34" s="168"/>
      <c r="N34" s="167"/>
      <c r="O34" s="166">
        <v>10000</v>
      </c>
      <c r="P34" s="165" t="s">
        <v>309</v>
      </c>
    </row>
    <row r="35" spans="11:16" ht="35.1" customHeight="1" x14ac:dyDescent="0.55000000000000004">
      <c r="K35" s="168"/>
      <c r="L35" s="169"/>
      <c r="M35" s="168"/>
      <c r="N35" s="167"/>
      <c r="O35" s="166">
        <v>8778</v>
      </c>
      <c r="P35" s="165" t="s">
        <v>308</v>
      </c>
    </row>
    <row r="36" spans="11:16" ht="9.9499999999999993" customHeight="1" x14ac:dyDescent="0.55000000000000004">
      <c r="K36" s="168"/>
      <c r="L36" s="169"/>
      <c r="M36" s="168"/>
      <c r="N36" s="168"/>
      <c r="O36" s="169"/>
      <c r="P36" s="168"/>
    </row>
    <row r="37" spans="11:16" ht="35.1" customHeight="1" x14ac:dyDescent="0.55000000000000004">
      <c r="K37" s="168"/>
      <c r="L37" s="189" t="s">
        <v>307</v>
      </c>
      <c r="M37" s="181"/>
      <c r="N37" s="180"/>
      <c r="O37" s="173" t="s">
        <v>306</v>
      </c>
      <c r="P37" s="168"/>
    </row>
    <row r="38" spans="11:16" ht="35.1" customHeight="1" x14ac:dyDescent="0.55000000000000004">
      <c r="K38" s="168"/>
      <c r="L38" s="190">
        <f>SUM(O37:O41)</f>
        <v>8988</v>
      </c>
      <c r="M38" s="176"/>
      <c r="N38" s="176"/>
      <c r="O38" s="192">
        <f>3800+1188</f>
        <v>4988</v>
      </c>
      <c r="P38" s="168"/>
    </row>
    <row r="39" spans="11:16" ht="9.9499999999999993" customHeight="1" x14ac:dyDescent="0.55000000000000004">
      <c r="K39" s="168"/>
      <c r="L39" s="169"/>
      <c r="M39" s="168"/>
      <c r="N39" s="175"/>
      <c r="O39" s="169"/>
      <c r="P39" s="168"/>
    </row>
    <row r="40" spans="11:16" ht="35.1" customHeight="1" x14ac:dyDescent="0.55000000000000004">
      <c r="K40" s="168"/>
      <c r="L40" s="169"/>
      <c r="M40" s="168"/>
      <c r="N40" s="174"/>
      <c r="O40" s="173" t="s">
        <v>305</v>
      </c>
      <c r="P40" s="165"/>
    </row>
    <row r="41" spans="11:16" ht="35.1" customHeight="1" x14ac:dyDescent="0.55000000000000004">
      <c r="K41" s="168"/>
      <c r="L41" s="169"/>
      <c r="M41" s="168"/>
      <c r="N41" s="168"/>
      <c r="O41" s="192">
        <v>4000</v>
      </c>
      <c r="P41" s="165" t="s">
        <v>304</v>
      </c>
    </row>
    <row r="42" spans="11:16" ht="9.9499999999999993" customHeight="1" x14ac:dyDescent="0.55000000000000004">
      <c r="K42" s="168"/>
      <c r="L42" s="169"/>
      <c r="M42" s="168"/>
      <c r="N42" s="168"/>
      <c r="O42" s="169"/>
      <c r="P42" s="168"/>
    </row>
    <row r="43" spans="11:16" ht="35.1" customHeight="1" x14ac:dyDescent="0.55000000000000004">
      <c r="K43" s="168"/>
      <c r="L43" s="189" t="s">
        <v>303</v>
      </c>
      <c r="M43" s="168"/>
      <c r="N43" s="168"/>
      <c r="O43" s="191"/>
      <c r="P43" s="168"/>
    </row>
    <row r="44" spans="11:16" ht="35.1" customHeight="1" x14ac:dyDescent="0.55000000000000004">
      <c r="K44" s="168"/>
      <c r="L44" s="190">
        <f>SUM(O44)</f>
        <v>0</v>
      </c>
      <c r="M44" s="176"/>
      <c r="N44" s="172"/>
      <c r="O44" s="166">
        <v>0</v>
      </c>
      <c r="P44" s="168"/>
    </row>
    <row r="45" spans="11:16" ht="9.9499999999999993" customHeight="1" x14ac:dyDescent="0.55000000000000004">
      <c r="K45" s="168"/>
      <c r="L45" s="212"/>
      <c r="M45" s="168"/>
      <c r="N45" s="168"/>
      <c r="O45" s="169"/>
      <c r="P45" s="168"/>
    </row>
    <row r="46" spans="11:16" ht="35.1" customHeight="1" x14ac:dyDescent="0.55000000000000004">
      <c r="K46" s="168"/>
      <c r="L46" s="179" t="s">
        <v>302</v>
      </c>
      <c r="M46" s="181"/>
      <c r="N46" s="180"/>
      <c r="O46" s="173" t="s">
        <v>301</v>
      </c>
      <c r="P46" s="168"/>
    </row>
    <row r="47" spans="11:16" ht="35.1" customHeight="1" x14ac:dyDescent="0.55000000000000004">
      <c r="K47" s="168"/>
      <c r="L47" s="190">
        <f>SUM(O46:O50)</f>
        <v>47523</v>
      </c>
      <c r="M47" s="176"/>
      <c r="N47" s="176"/>
      <c r="O47" s="192">
        <f>令和５年度日付順!I16</f>
        <v>44346</v>
      </c>
      <c r="P47" s="168"/>
    </row>
    <row r="48" spans="11:16" ht="9.9499999999999993" customHeight="1" x14ac:dyDescent="0.55000000000000004">
      <c r="K48" s="168"/>
      <c r="L48" s="169"/>
      <c r="M48" s="168"/>
      <c r="N48" s="175"/>
      <c r="O48" s="169"/>
      <c r="P48" s="168"/>
    </row>
    <row r="49" spans="11:16" ht="35.1" customHeight="1" x14ac:dyDescent="0.55000000000000004">
      <c r="K49" s="168"/>
      <c r="L49" s="208" t="s">
        <v>375</v>
      </c>
      <c r="M49" s="168"/>
      <c r="N49" s="174"/>
      <c r="O49" s="191" t="s">
        <v>300</v>
      </c>
      <c r="P49" s="168"/>
    </row>
    <row r="50" spans="11:16" ht="35.1" customHeight="1" x14ac:dyDescent="0.55000000000000004">
      <c r="K50" s="168"/>
      <c r="L50" s="169"/>
      <c r="M50" s="168"/>
      <c r="N50" s="168"/>
      <c r="O50" s="192">
        <f>令和５年度日付順!I17+令和５年度日付順!I18</f>
        <v>3177</v>
      </c>
      <c r="P50" s="168"/>
    </row>
    <row r="51" spans="11:16" ht="9.9499999999999993" customHeight="1" x14ac:dyDescent="0.55000000000000004">
      <c r="K51" s="168"/>
      <c r="L51" s="169"/>
      <c r="M51" s="168"/>
      <c r="N51" s="168"/>
      <c r="O51" s="169"/>
      <c r="P51" s="168"/>
    </row>
    <row r="52" spans="11:16" ht="35.1" customHeight="1" x14ac:dyDescent="0.55000000000000004">
      <c r="K52" s="168"/>
      <c r="L52" s="188" t="s">
        <v>299</v>
      </c>
      <c r="M52" s="182"/>
      <c r="N52" s="187" t="s">
        <v>296</v>
      </c>
      <c r="O52" s="173" t="s">
        <v>298</v>
      </c>
      <c r="P52" s="168"/>
    </row>
    <row r="53" spans="11:16" ht="35.1" customHeight="1" x14ac:dyDescent="0.55000000000000004">
      <c r="K53" s="168"/>
      <c r="L53" s="178">
        <v>332527</v>
      </c>
      <c r="M53" s="168"/>
      <c r="N53" s="186"/>
      <c r="O53" s="171"/>
      <c r="P53" s="168"/>
    </row>
    <row r="54" spans="11:16" ht="9.9499999999999993" customHeight="1" x14ac:dyDescent="0.55000000000000004">
      <c r="K54" s="168"/>
      <c r="L54" s="169"/>
      <c r="M54" s="168"/>
      <c r="N54" s="185"/>
      <c r="O54" s="169"/>
      <c r="P54" s="168"/>
    </row>
    <row r="55" spans="11:16" ht="35.1" customHeight="1" x14ac:dyDescent="0.55000000000000004">
      <c r="K55" s="168"/>
      <c r="L55" s="169"/>
      <c r="M55" s="168"/>
      <c r="N55" s="184" t="s">
        <v>296</v>
      </c>
      <c r="O55" s="173" t="s">
        <v>297</v>
      </c>
      <c r="P55" s="168"/>
    </row>
    <row r="56" spans="11:16" ht="35.1" customHeight="1" x14ac:dyDescent="0.55000000000000004">
      <c r="K56" s="168"/>
      <c r="L56" s="169" t="s">
        <v>209</v>
      </c>
      <c r="M56" s="168"/>
      <c r="N56" s="185"/>
      <c r="O56" s="171"/>
      <c r="P56" s="168"/>
    </row>
    <row r="57" spans="11:16" ht="9.9499999999999993" customHeight="1" x14ac:dyDescent="0.55000000000000004">
      <c r="K57" s="168"/>
      <c r="L57" s="169"/>
      <c r="M57" s="168"/>
      <c r="N57" s="185"/>
      <c r="O57" s="169"/>
      <c r="P57" s="168"/>
    </row>
    <row r="58" spans="11:16" ht="35.1" customHeight="1" x14ac:dyDescent="0.55000000000000004">
      <c r="K58" s="168"/>
      <c r="L58" s="169" t="s">
        <v>376</v>
      </c>
      <c r="M58" s="168"/>
      <c r="N58" s="184" t="s">
        <v>296</v>
      </c>
      <c r="O58" s="173" t="s">
        <v>288</v>
      </c>
      <c r="P58" s="168"/>
    </row>
    <row r="59" spans="11:16" ht="35.1" customHeight="1" x14ac:dyDescent="0.55000000000000004">
      <c r="K59" s="168"/>
      <c r="L59" s="169" t="s">
        <v>378</v>
      </c>
      <c r="M59" s="168"/>
      <c r="N59" s="185"/>
      <c r="O59" s="171"/>
      <c r="P59" s="168"/>
    </row>
    <row r="60" spans="11:16" ht="29.25" customHeight="1" x14ac:dyDescent="0.55000000000000004">
      <c r="K60" s="168"/>
      <c r="L60" s="169"/>
      <c r="M60" s="377" t="s">
        <v>379</v>
      </c>
      <c r="N60" s="377"/>
      <c r="O60" s="169" t="s">
        <v>295</v>
      </c>
      <c r="P60" s="168"/>
    </row>
    <row r="61" spans="11:16" ht="35.1" hidden="1" customHeight="1" x14ac:dyDescent="0.55000000000000004">
      <c r="K61" s="168"/>
      <c r="L61" s="169"/>
      <c r="M61" s="168"/>
      <c r="N61" s="184" t="s">
        <v>289</v>
      </c>
      <c r="O61" s="173" t="s">
        <v>294</v>
      </c>
      <c r="P61" s="168"/>
    </row>
    <row r="62" spans="11:16" ht="35.1" hidden="1" customHeight="1" x14ac:dyDescent="0.55000000000000004">
      <c r="K62" s="168"/>
      <c r="L62" s="169"/>
      <c r="M62" s="168"/>
      <c r="N62" s="185"/>
      <c r="O62" s="183"/>
      <c r="P62" s="168"/>
    </row>
    <row r="63" spans="11:16" ht="9.9499999999999993" hidden="1" customHeight="1" x14ac:dyDescent="0.55000000000000004">
      <c r="K63" s="168"/>
      <c r="L63" s="169"/>
      <c r="M63" s="168"/>
      <c r="N63" s="185"/>
      <c r="O63" s="169"/>
      <c r="P63" s="168"/>
    </row>
    <row r="64" spans="11:16" ht="35.1" hidden="1" customHeight="1" x14ac:dyDescent="0.55000000000000004">
      <c r="K64" s="168"/>
      <c r="L64" s="169"/>
      <c r="M64" s="168"/>
      <c r="N64" s="184" t="s">
        <v>289</v>
      </c>
      <c r="O64" s="173" t="s">
        <v>293</v>
      </c>
      <c r="P64" s="168"/>
    </row>
    <row r="65" spans="11:16" ht="35.1" hidden="1" customHeight="1" x14ac:dyDescent="0.55000000000000004">
      <c r="K65" s="168"/>
      <c r="L65" s="169"/>
      <c r="M65" s="168"/>
      <c r="N65" s="185"/>
      <c r="O65" s="183"/>
      <c r="P65" s="168"/>
    </row>
    <row r="66" spans="11:16" ht="9.9499999999999993" hidden="1" customHeight="1" x14ac:dyDescent="0.55000000000000004">
      <c r="K66" s="168"/>
      <c r="L66" s="169"/>
      <c r="M66" s="168"/>
      <c r="N66" s="185"/>
      <c r="O66" s="169"/>
      <c r="P66" s="168"/>
    </row>
    <row r="67" spans="11:16" ht="35.1" hidden="1" customHeight="1" x14ac:dyDescent="0.55000000000000004">
      <c r="K67" s="168"/>
      <c r="L67" s="169"/>
      <c r="M67" s="168"/>
      <c r="N67" s="184" t="s">
        <v>289</v>
      </c>
      <c r="O67" s="173" t="s">
        <v>292</v>
      </c>
      <c r="P67" s="168"/>
    </row>
    <row r="68" spans="11:16" ht="35.1" hidden="1" customHeight="1" x14ac:dyDescent="0.55000000000000004">
      <c r="K68" s="168"/>
      <c r="L68" s="169"/>
      <c r="M68" s="168"/>
      <c r="N68" s="185"/>
      <c r="O68" s="183"/>
      <c r="P68" s="168"/>
    </row>
    <row r="69" spans="11:16" ht="9.9499999999999993" hidden="1" customHeight="1" x14ac:dyDescent="0.55000000000000004">
      <c r="K69" s="168"/>
      <c r="L69" s="169"/>
      <c r="M69" s="168"/>
      <c r="N69" s="185"/>
      <c r="O69" s="169"/>
      <c r="P69" s="168"/>
    </row>
    <row r="70" spans="11:16" ht="35.1" hidden="1" customHeight="1" x14ac:dyDescent="0.55000000000000004">
      <c r="K70" s="168"/>
      <c r="L70" s="169"/>
      <c r="M70" s="168"/>
      <c r="N70" s="184" t="s">
        <v>289</v>
      </c>
      <c r="O70" s="173" t="s">
        <v>291</v>
      </c>
      <c r="P70" s="168"/>
    </row>
    <row r="71" spans="11:16" ht="35.1" hidden="1" customHeight="1" x14ac:dyDescent="0.55000000000000004">
      <c r="K71" s="168"/>
      <c r="L71" s="169"/>
      <c r="M71" s="168"/>
      <c r="N71" s="185"/>
      <c r="O71" s="183"/>
      <c r="P71" s="165" t="s">
        <v>290</v>
      </c>
    </row>
    <row r="72" spans="11:16" ht="9.9499999999999993" hidden="1" customHeight="1" x14ac:dyDescent="0.55000000000000004">
      <c r="K72" s="168"/>
      <c r="L72" s="169"/>
      <c r="M72" s="168"/>
      <c r="N72" s="185"/>
      <c r="O72" s="169"/>
      <c r="P72" s="168"/>
    </row>
    <row r="73" spans="11:16" ht="35.1" hidden="1" customHeight="1" x14ac:dyDescent="0.55000000000000004">
      <c r="K73" s="168"/>
      <c r="L73" s="169"/>
      <c r="M73" s="168"/>
      <c r="N73" s="184" t="s">
        <v>289</v>
      </c>
      <c r="O73" s="173" t="s">
        <v>288</v>
      </c>
      <c r="P73" s="175"/>
    </row>
    <row r="74" spans="11:16" ht="35.1" hidden="1" customHeight="1" x14ac:dyDescent="0.55000000000000004">
      <c r="K74" s="168"/>
      <c r="L74" s="169"/>
      <c r="M74" s="168"/>
      <c r="N74" s="168"/>
      <c r="O74" s="183"/>
      <c r="P74" s="175"/>
    </row>
    <row r="75" spans="11:16" ht="9.9499999999999993" customHeight="1" x14ac:dyDescent="0.55000000000000004">
      <c r="K75" s="168"/>
      <c r="L75" s="169"/>
      <c r="M75" s="168"/>
      <c r="N75" s="168"/>
      <c r="O75" s="169"/>
      <c r="P75" s="168"/>
    </row>
    <row r="76" spans="11:16" ht="35.1" customHeight="1" x14ac:dyDescent="0.55000000000000004">
      <c r="K76" s="168"/>
      <c r="L76" s="179" t="s">
        <v>287</v>
      </c>
      <c r="M76" s="182"/>
      <c r="N76" s="180"/>
      <c r="O76" s="173" t="s">
        <v>286</v>
      </c>
      <c r="P76" s="168"/>
    </row>
    <row r="77" spans="11:16" ht="35.1" customHeight="1" x14ac:dyDescent="0.55000000000000004">
      <c r="K77" s="168"/>
      <c r="L77" s="190">
        <f>SUM(O76:O83)</f>
        <v>109489</v>
      </c>
      <c r="M77" s="175"/>
      <c r="N77" s="177"/>
      <c r="O77" s="166">
        <f>8180+11301+3628</f>
        <v>23109</v>
      </c>
      <c r="P77" s="168" t="s">
        <v>368</v>
      </c>
    </row>
    <row r="78" spans="11:16" ht="9.9499999999999993" customHeight="1" x14ac:dyDescent="0.55000000000000004">
      <c r="K78" s="168"/>
      <c r="L78" s="169"/>
      <c r="M78" s="168"/>
      <c r="N78" s="175"/>
      <c r="O78" s="169"/>
      <c r="P78" s="168"/>
    </row>
    <row r="79" spans="11:16" ht="35.1" customHeight="1" x14ac:dyDescent="0.55000000000000004">
      <c r="K79" s="168"/>
      <c r="L79" s="169"/>
      <c r="M79" s="168"/>
      <c r="N79" s="174"/>
      <c r="O79" s="173" t="s">
        <v>370</v>
      </c>
      <c r="P79" s="168"/>
    </row>
    <row r="80" spans="11:16" ht="35.1" customHeight="1" x14ac:dyDescent="0.55000000000000004">
      <c r="K80" s="168"/>
      <c r="L80" s="169"/>
      <c r="M80" s="168"/>
      <c r="N80" s="175"/>
      <c r="O80" s="166">
        <f>35840+35416</f>
        <v>71256</v>
      </c>
      <c r="P80" s="168" t="s">
        <v>369</v>
      </c>
    </row>
    <row r="81" spans="11:18" ht="9.9499999999999993" customHeight="1" x14ac:dyDescent="0.55000000000000004">
      <c r="K81" s="168"/>
      <c r="L81" s="169"/>
      <c r="M81" s="168"/>
      <c r="N81" s="175"/>
      <c r="O81" s="169"/>
      <c r="P81" s="168"/>
    </row>
    <row r="82" spans="11:18" ht="35.1" customHeight="1" x14ac:dyDescent="0.55000000000000004">
      <c r="K82" s="168"/>
      <c r="L82" s="169"/>
      <c r="M82" s="168"/>
      <c r="N82" s="174"/>
      <c r="O82" s="173" t="s">
        <v>367</v>
      </c>
      <c r="P82" s="168"/>
    </row>
    <row r="83" spans="11:18" ht="35.1" customHeight="1" x14ac:dyDescent="0.55000000000000004">
      <c r="K83" s="168"/>
      <c r="L83" s="169"/>
      <c r="M83" s="168"/>
      <c r="N83" s="168"/>
      <c r="O83" s="166">
        <f>3684+11440</f>
        <v>15124</v>
      </c>
      <c r="P83" s="168"/>
    </row>
    <row r="84" spans="11:18" ht="9.9499999999999993" customHeight="1" x14ac:dyDescent="0.55000000000000004">
      <c r="K84" s="168"/>
      <c r="L84" s="169"/>
      <c r="M84" s="168"/>
      <c r="N84" s="168"/>
      <c r="O84" s="169"/>
      <c r="P84" s="168"/>
    </row>
    <row r="85" spans="11:18" ht="35.1" customHeight="1" x14ac:dyDescent="0.55000000000000004">
      <c r="K85" s="168"/>
      <c r="L85" s="179" t="s">
        <v>285</v>
      </c>
      <c r="M85" s="181"/>
      <c r="N85" s="180"/>
      <c r="O85" s="173" t="s">
        <v>381</v>
      </c>
      <c r="P85" s="168" t="s">
        <v>382</v>
      </c>
      <c r="R85" s="211"/>
    </row>
    <row r="86" spans="11:18" ht="34.5" customHeight="1" x14ac:dyDescent="0.55000000000000004">
      <c r="K86" s="168"/>
      <c r="L86" s="190">
        <f>SUM(O85:O94)</f>
        <v>111735</v>
      </c>
      <c r="M86" s="176"/>
      <c r="N86" s="176"/>
      <c r="O86" s="192">
        <f>令和５年度日付順!I15</f>
        <v>88693</v>
      </c>
      <c r="P86" s="168" t="s">
        <v>383</v>
      </c>
    </row>
    <row r="87" spans="11:18" ht="9.9499999999999993" customHeight="1" x14ac:dyDescent="0.55000000000000004">
      <c r="K87" s="168"/>
      <c r="L87" s="169"/>
      <c r="M87" s="168"/>
      <c r="N87" s="175"/>
      <c r="O87" s="169"/>
      <c r="P87" s="168"/>
    </row>
    <row r="88" spans="11:18" ht="35.1" customHeight="1" x14ac:dyDescent="0.55000000000000004">
      <c r="K88" s="168"/>
      <c r="L88" s="208" t="s">
        <v>380</v>
      </c>
      <c r="M88" s="168"/>
      <c r="N88" s="174"/>
      <c r="O88" s="173" t="s">
        <v>371</v>
      </c>
      <c r="P88" s="168"/>
    </row>
    <row r="89" spans="11:18" ht="35.1" customHeight="1" x14ac:dyDescent="0.55000000000000004">
      <c r="K89" s="168"/>
      <c r="L89" s="169"/>
      <c r="M89" s="168"/>
      <c r="N89" s="177"/>
      <c r="O89" s="166">
        <v>6714</v>
      </c>
      <c r="P89" s="168"/>
      <c r="R89" s="164" t="s">
        <v>284</v>
      </c>
    </row>
    <row r="90" spans="11:18" ht="9.9499999999999993" customHeight="1" x14ac:dyDescent="0.55000000000000004">
      <c r="K90" s="168"/>
      <c r="L90" s="169"/>
      <c r="M90" s="168"/>
      <c r="N90" s="175"/>
      <c r="O90" s="169"/>
      <c r="P90" s="168"/>
    </row>
    <row r="91" spans="11:18" ht="35.1" customHeight="1" x14ac:dyDescent="0.55000000000000004">
      <c r="K91" s="168"/>
      <c r="L91" s="169"/>
      <c r="M91" s="168"/>
      <c r="N91" s="174"/>
      <c r="O91" s="173" t="s">
        <v>283</v>
      </c>
      <c r="P91" s="168"/>
    </row>
    <row r="92" spans="11:18" ht="35.1" customHeight="1" x14ac:dyDescent="0.55000000000000004">
      <c r="K92" s="168"/>
      <c r="L92" s="169"/>
      <c r="M92" s="168"/>
      <c r="N92" s="172"/>
      <c r="O92" s="166">
        <f>令和５年度日付順!I13</f>
        <v>7800</v>
      </c>
      <c r="P92" s="170" t="s">
        <v>282</v>
      </c>
    </row>
    <row r="93" spans="11:18" ht="35.1" customHeight="1" x14ac:dyDescent="0.55000000000000004">
      <c r="K93" s="168"/>
      <c r="L93" s="169"/>
      <c r="M93" s="168"/>
      <c r="N93" s="167"/>
      <c r="O93" s="166">
        <f>令和５年度日付順!I9</f>
        <v>5500</v>
      </c>
      <c r="P93" s="165" t="s">
        <v>281</v>
      </c>
    </row>
    <row r="94" spans="11:18" ht="35.1" customHeight="1" x14ac:dyDescent="0.55000000000000004">
      <c r="K94" s="168"/>
      <c r="L94" s="169"/>
      <c r="M94" s="168"/>
      <c r="N94" s="167"/>
      <c r="O94" s="166">
        <v>3028</v>
      </c>
      <c r="P94" s="165" t="s">
        <v>280</v>
      </c>
    </row>
  </sheetData>
  <mergeCells count="5">
    <mergeCell ref="B3:B4"/>
    <mergeCell ref="C3:C4"/>
    <mergeCell ref="B7:B8"/>
    <mergeCell ref="C7:C8"/>
    <mergeCell ref="M60:N60"/>
  </mergeCells>
  <phoneticPr fontId="2"/>
  <printOptions horizontalCentered="1" verticalCentered="1" headings="1"/>
  <pageMargins left="0.51181102362204722" right="0.51181102362204722" top="0.74803149606299213" bottom="0.35433070866141736" header="0.31496062992125984" footer="0.11811023622047245"/>
  <pageSetup paperSize="8" scale="48" orientation="portrait" r:id="rId1"/>
  <headerFooter>
    <oddHeader>&amp;C&amp;20Ｒ５年度　祭礼会計（集計中）&amp;R&amp;20&amp;D</oddHeader>
  </headerFooter>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S135"/>
  <sheetViews>
    <sheetView view="pageBreakPreview" zoomScale="110" zoomScaleNormal="100" zoomScaleSheetLayoutView="110" workbookViewId="0">
      <pane xSplit="4" ySplit="3" topLeftCell="E100" activePane="bottomRight" state="frozen"/>
      <selection activeCell="G36" sqref="G36"/>
      <selection pane="topRight" activeCell="G36" sqref="G36"/>
      <selection pane="bottomLeft" activeCell="G36" sqref="G36"/>
      <selection pane="bottomRight" activeCell="M99" sqref="M99"/>
    </sheetView>
  </sheetViews>
  <sheetFormatPr defaultColWidth="8.875" defaultRowHeight="13.5" x14ac:dyDescent="0.15"/>
  <cols>
    <col min="1" max="1" width="4.125" style="5" bestFit="1" customWidth="1"/>
    <col min="2" max="2" width="3.5" style="5" bestFit="1" customWidth="1"/>
    <col min="3" max="4" width="3.625" style="5" bestFit="1" customWidth="1"/>
    <col min="5" max="5" width="27.125" style="13" customWidth="1"/>
    <col min="6" max="6" width="4.875" style="5" bestFit="1" customWidth="1"/>
    <col min="7" max="7" width="16.875" bestFit="1" customWidth="1"/>
    <col min="8" max="10" width="9.625" style="11" customWidth="1"/>
    <col min="11" max="11" width="3.875" bestFit="1" customWidth="1"/>
    <col min="18" max="18" width="12.875" bestFit="1" customWidth="1"/>
  </cols>
  <sheetData>
    <row r="1" spans="1:17" ht="21" customHeight="1" x14ac:dyDescent="0.15">
      <c r="A1" s="381" t="s">
        <v>18</v>
      </c>
      <c r="B1" s="381"/>
      <c r="C1" s="381"/>
      <c r="D1" s="381"/>
      <c r="E1" s="20"/>
      <c r="H1" s="382" t="s">
        <v>180</v>
      </c>
      <c r="I1" s="382"/>
      <c r="J1" s="382"/>
    </row>
    <row r="2" spans="1:17" ht="21" customHeight="1" x14ac:dyDescent="0.15">
      <c r="A2" s="379" t="s">
        <v>29</v>
      </c>
      <c r="B2" s="380"/>
      <c r="C2" s="380"/>
      <c r="D2" s="380"/>
      <c r="E2" s="380"/>
      <c r="F2" s="380"/>
      <c r="G2" s="380"/>
      <c r="H2" s="380"/>
      <c r="I2" s="380"/>
      <c r="J2" s="380"/>
    </row>
    <row r="3" spans="1:17" s="1" customFormat="1" ht="20.25" customHeight="1" x14ac:dyDescent="0.15">
      <c r="A3" s="3" t="s">
        <v>6</v>
      </c>
      <c r="B3" s="12" t="s">
        <v>0</v>
      </c>
      <c r="C3" s="12" t="s">
        <v>1</v>
      </c>
      <c r="D3" s="12" t="s">
        <v>2</v>
      </c>
      <c r="E3" s="3" t="s">
        <v>3</v>
      </c>
      <c r="F3" s="2" t="s">
        <v>4</v>
      </c>
      <c r="G3" s="2" t="s">
        <v>5</v>
      </c>
      <c r="H3" s="10" t="s">
        <v>9</v>
      </c>
      <c r="I3" s="10" t="s">
        <v>7</v>
      </c>
      <c r="J3" s="10" t="s">
        <v>10</v>
      </c>
    </row>
    <row r="4" spans="1:17" s="1" customFormat="1" ht="20.25" customHeight="1" x14ac:dyDescent="0.15">
      <c r="A4" s="3">
        <f>ROW()-3</f>
        <v>1</v>
      </c>
      <c r="B4" s="41">
        <v>5</v>
      </c>
      <c r="C4" s="50">
        <v>4</v>
      </c>
      <c r="D4" s="50">
        <v>1</v>
      </c>
      <c r="E4" s="7" t="s">
        <v>27</v>
      </c>
      <c r="F4" s="19" t="s">
        <v>12</v>
      </c>
      <c r="G4" s="4" t="s">
        <v>13</v>
      </c>
      <c r="H4" s="42">
        <v>801901</v>
      </c>
      <c r="I4" s="63">
        <f>H4</f>
        <v>801901</v>
      </c>
      <c r="J4" s="42">
        <f>H4-I4</f>
        <v>0</v>
      </c>
    </row>
    <row r="5" spans="1:17" s="1" customFormat="1" ht="20.25" customHeight="1" x14ac:dyDescent="0.15">
      <c r="A5" s="3">
        <f t="shared" ref="A5:A122" si="0">ROW()-3</f>
        <v>2</v>
      </c>
      <c r="B5" s="41">
        <v>5</v>
      </c>
      <c r="C5" s="50">
        <v>4</v>
      </c>
      <c r="D5" s="50">
        <v>1</v>
      </c>
      <c r="E5" s="7" t="s">
        <v>28</v>
      </c>
      <c r="F5" s="19" t="s">
        <v>12</v>
      </c>
      <c r="G5" s="4" t="s">
        <v>13</v>
      </c>
      <c r="H5" s="42">
        <v>54920</v>
      </c>
      <c r="I5" s="63">
        <f>H5</f>
        <v>54920</v>
      </c>
      <c r="J5" s="42">
        <f>J4+H5-I5</f>
        <v>0</v>
      </c>
      <c r="L5" s="62" t="s">
        <v>37</v>
      </c>
    </row>
    <row r="6" spans="1:17" s="1" customFormat="1" ht="20.25" customHeight="1" x14ac:dyDescent="0.15">
      <c r="A6" s="3">
        <f t="shared" si="0"/>
        <v>3</v>
      </c>
      <c r="B6" s="41">
        <v>5</v>
      </c>
      <c r="C6" s="50">
        <v>6</v>
      </c>
      <c r="D6" s="50">
        <v>5</v>
      </c>
      <c r="E6" s="7" t="s">
        <v>45</v>
      </c>
      <c r="F6" s="19"/>
      <c r="G6" s="4" t="s">
        <v>177</v>
      </c>
      <c r="H6" s="69">
        <v>100000</v>
      </c>
      <c r="I6" s="69">
        <v>100000</v>
      </c>
      <c r="J6" s="42">
        <f t="shared" ref="J6:J11" si="1">J5+H6-I6</f>
        <v>0</v>
      </c>
      <c r="L6" s="56"/>
    </row>
    <row r="7" spans="1:17" s="1" customFormat="1" ht="20.25" customHeight="1" x14ac:dyDescent="0.15">
      <c r="A7" s="3">
        <f t="shared" si="0"/>
        <v>4</v>
      </c>
      <c r="B7" s="41">
        <v>5</v>
      </c>
      <c r="C7" s="50">
        <v>6</v>
      </c>
      <c r="D7" s="50">
        <v>14</v>
      </c>
      <c r="E7" s="7" t="s">
        <v>45</v>
      </c>
      <c r="F7" s="19"/>
      <c r="G7" s="4" t="s">
        <v>177</v>
      </c>
      <c r="H7" s="69">
        <v>100000</v>
      </c>
      <c r="I7" s="69">
        <v>100000</v>
      </c>
      <c r="J7" s="42">
        <f t="shared" si="1"/>
        <v>0</v>
      </c>
      <c r="L7" s="56"/>
    </row>
    <row r="8" spans="1:17" s="1" customFormat="1" ht="20.25" customHeight="1" x14ac:dyDescent="0.15">
      <c r="A8" s="3">
        <f t="shared" si="0"/>
        <v>5</v>
      </c>
      <c r="B8" s="41">
        <v>5</v>
      </c>
      <c r="C8" s="50">
        <v>6</v>
      </c>
      <c r="D8" s="50">
        <v>23</v>
      </c>
      <c r="E8" s="7" t="s">
        <v>170</v>
      </c>
      <c r="F8" s="49">
        <v>6</v>
      </c>
      <c r="G8" s="4" t="s">
        <v>31</v>
      </c>
      <c r="H8" s="42"/>
      <c r="I8" s="42">
        <v>88693</v>
      </c>
      <c r="J8" s="42">
        <f t="shared" si="1"/>
        <v>-88693</v>
      </c>
      <c r="L8" s="56" t="s">
        <v>52</v>
      </c>
      <c r="M8" s="56">
        <f>SUM(I8:I9)</f>
        <v>133039</v>
      </c>
    </row>
    <row r="9" spans="1:17" s="1" customFormat="1" ht="20.25" customHeight="1" x14ac:dyDescent="0.15">
      <c r="A9" s="3">
        <f t="shared" si="0"/>
        <v>6</v>
      </c>
      <c r="B9" s="41">
        <v>5</v>
      </c>
      <c r="C9" s="50">
        <v>6</v>
      </c>
      <c r="D9" s="50">
        <v>23</v>
      </c>
      <c r="E9" s="7" t="s">
        <v>171</v>
      </c>
      <c r="F9" s="49">
        <v>10</v>
      </c>
      <c r="G9" s="4" t="s">
        <v>31</v>
      </c>
      <c r="H9" s="42"/>
      <c r="I9" s="42">
        <v>44346</v>
      </c>
      <c r="J9" s="42">
        <f t="shared" si="1"/>
        <v>-133039</v>
      </c>
    </row>
    <row r="10" spans="1:17" s="1" customFormat="1" ht="20.25" customHeight="1" x14ac:dyDescent="0.15">
      <c r="A10" s="3">
        <f t="shared" si="0"/>
        <v>7</v>
      </c>
      <c r="B10" s="41">
        <v>5</v>
      </c>
      <c r="C10" s="50">
        <v>6</v>
      </c>
      <c r="D10" s="50">
        <v>27</v>
      </c>
      <c r="E10" s="78" t="s">
        <v>172</v>
      </c>
      <c r="F10" s="49">
        <v>10</v>
      </c>
      <c r="G10" s="4" t="s">
        <v>30</v>
      </c>
      <c r="H10" s="42"/>
      <c r="I10" s="42">
        <v>770</v>
      </c>
      <c r="J10" s="42">
        <f t="shared" si="1"/>
        <v>-133809</v>
      </c>
      <c r="L10" s="56"/>
      <c r="M10" s="56"/>
    </row>
    <row r="11" spans="1:17" s="1" customFormat="1" ht="20.25" customHeight="1" x14ac:dyDescent="0.15">
      <c r="A11" s="3">
        <f t="shared" si="0"/>
        <v>8</v>
      </c>
      <c r="B11" s="41">
        <v>5</v>
      </c>
      <c r="C11" s="50">
        <v>6</v>
      </c>
      <c r="D11" s="50">
        <v>28</v>
      </c>
      <c r="E11" s="7" t="s">
        <v>173</v>
      </c>
      <c r="F11" s="49">
        <v>10</v>
      </c>
      <c r="G11" s="4" t="s">
        <v>32</v>
      </c>
      <c r="H11" s="42"/>
      <c r="I11" s="42">
        <v>2407</v>
      </c>
      <c r="J11" s="42">
        <f t="shared" si="1"/>
        <v>-136216</v>
      </c>
      <c r="L11" s="56"/>
    </row>
    <row r="12" spans="1:17" s="1" customFormat="1" ht="20.25" customHeight="1" x14ac:dyDescent="0.15">
      <c r="A12" s="3">
        <f t="shared" si="0"/>
        <v>9</v>
      </c>
      <c r="B12" s="41">
        <v>5</v>
      </c>
      <c r="C12" s="50">
        <v>6</v>
      </c>
      <c r="D12" s="50">
        <v>29</v>
      </c>
      <c r="E12" s="7" t="s">
        <v>45</v>
      </c>
      <c r="F12" s="19"/>
      <c r="G12" s="4" t="s">
        <v>179</v>
      </c>
      <c r="H12" s="69">
        <f>153900-9900</f>
        <v>144000</v>
      </c>
      <c r="I12" s="69">
        <f>153900-9900</f>
        <v>144000</v>
      </c>
      <c r="J12" s="42">
        <f t="shared" ref="J12" si="2">J11+H12-I12</f>
        <v>-136216</v>
      </c>
      <c r="L12" s="56"/>
      <c r="O12" s="1" t="s">
        <v>54</v>
      </c>
    </row>
    <row r="13" spans="1:17" s="1" customFormat="1" ht="20.25" customHeight="1" x14ac:dyDescent="0.15">
      <c r="A13" s="3">
        <f t="shared" si="0"/>
        <v>10</v>
      </c>
      <c r="B13" s="41">
        <v>5</v>
      </c>
      <c r="C13" s="50">
        <v>6</v>
      </c>
      <c r="D13" s="50">
        <v>29</v>
      </c>
      <c r="E13" s="65" t="s">
        <v>46</v>
      </c>
      <c r="F13" s="66">
        <v>1</v>
      </c>
      <c r="G13" s="67" t="s">
        <v>47</v>
      </c>
      <c r="H13" s="68">
        <f>100000+100000</f>
        <v>200000</v>
      </c>
      <c r="I13" s="68">
        <f>100000+100000+153900-9900</f>
        <v>344000</v>
      </c>
      <c r="J13" s="68">
        <f>J11+H13-I13</f>
        <v>-280216</v>
      </c>
      <c r="L13" s="56"/>
      <c r="O13" s="1" t="s">
        <v>54</v>
      </c>
    </row>
    <row r="14" spans="1:17" s="1" customFormat="1" ht="20.25" customHeight="1" x14ac:dyDescent="0.15">
      <c r="A14" s="3">
        <f t="shared" si="0"/>
        <v>11</v>
      </c>
      <c r="B14" s="41">
        <v>5</v>
      </c>
      <c r="C14" s="50">
        <v>7</v>
      </c>
      <c r="D14" s="50">
        <v>9</v>
      </c>
      <c r="E14" s="7" t="s">
        <v>38</v>
      </c>
      <c r="F14" s="19" t="s">
        <v>39</v>
      </c>
      <c r="G14" s="4" t="s">
        <v>40</v>
      </c>
      <c r="H14" s="42">
        <v>501500</v>
      </c>
      <c r="I14" s="42"/>
      <c r="J14" s="42">
        <f>J13+H14-I14</f>
        <v>221284</v>
      </c>
      <c r="L14" s="56"/>
      <c r="O14" s="56">
        <f>H14</f>
        <v>501500</v>
      </c>
      <c r="P14" s="1">
        <v>280216</v>
      </c>
      <c r="Q14" s="56">
        <f>Q13+O14-P14</f>
        <v>221284</v>
      </c>
    </row>
    <row r="15" spans="1:17" s="1" customFormat="1" ht="20.25" customHeight="1" x14ac:dyDescent="0.15">
      <c r="A15" s="3">
        <f t="shared" si="0"/>
        <v>12</v>
      </c>
      <c r="B15" s="41">
        <v>5</v>
      </c>
      <c r="C15" s="50">
        <v>6</v>
      </c>
      <c r="D15" s="50">
        <v>14</v>
      </c>
      <c r="E15" s="7" t="s">
        <v>45</v>
      </c>
      <c r="F15" s="19"/>
      <c r="G15" s="4" t="s">
        <v>176</v>
      </c>
      <c r="H15" s="69"/>
      <c r="I15" s="69">
        <v>100000</v>
      </c>
      <c r="J15" s="42">
        <f>J14+H15-I15</f>
        <v>121284</v>
      </c>
      <c r="L15" s="56"/>
    </row>
    <row r="16" spans="1:17" s="1" customFormat="1" ht="20.25" customHeight="1" x14ac:dyDescent="0.15">
      <c r="A16" s="3">
        <f t="shared" si="0"/>
        <v>13</v>
      </c>
      <c r="B16" s="41">
        <v>5</v>
      </c>
      <c r="C16" s="50">
        <v>6</v>
      </c>
      <c r="D16" s="50">
        <v>29</v>
      </c>
      <c r="E16" s="7" t="s">
        <v>45</v>
      </c>
      <c r="F16" s="19"/>
      <c r="G16" s="4" t="s">
        <v>181</v>
      </c>
      <c r="H16" s="69"/>
      <c r="I16" s="69">
        <f>153900-990</f>
        <v>152910</v>
      </c>
      <c r="J16" s="42">
        <f t="shared" ref="J16" si="3">J15+H16-I16</f>
        <v>-31626</v>
      </c>
      <c r="L16" s="56"/>
      <c r="O16" s="1" t="s">
        <v>54</v>
      </c>
    </row>
    <row r="17" spans="1:17" s="1" customFormat="1" ht="20.25" customHeight="1" x14ac:dyDescent="0.15">
      <c r="A17" s="3">
        <f t="shared" si="0"/>
        <v>14</v>
      </c>
      <c r="B17" s="41">
        <v>5</v>
      </c>
      <c r="C17" s="50">
        <v>7</v>
      </c>
      <c r="D17" s="50">
        <v>9</v>
      </c>
      <c r="E17" s="7" t="s">
        <v>41</v>
      </c>
      <c r="F17" s="19" t="s">
        <v>42</v>
      </c>
      <c r="G17" s="4" t="s">
        <v>44</v>
      </c>
      <c r="H17" s="42">
        <v>2000</v>
      </c>
      <c r="I17" s="42"/>
      <c r="J17" s="42">
        <f>J16+H17-I17</f>
        <v>-29626</v>
      </c>
      <c r="L17" s="56"/>
      <c r="O17" s="56">
        <f>H17</f>
        <v>2000</v>
      </c>
      <c r="Q17" s="56">
        <f>Q14+O17-P17</f>
        <v>223284</v>
      </c>
    </row>
    <row r="18" spans="1:17" s="1" customFormat="1" ht="20.25" customHeight="1" x14ac:dyDescent="0.15">
      <c r="A18" s="3">
        <f t="shared" si="0"/>
        <v>15</v>
      </c>
      <c r="B18" s="41">
        <v>5</v>
      </c>
      <c r="C18" s="50">
        <v>7</v>
      </c>
      <c r="D18" s="50">
        <v>9</v>
      </c>
      <c r="E18" s="7" t="s">
        <v>41</v>
      </c>
      <c r="F18" s="19" t="s">
        <v>42</v>
      </c>
      <c r="G18" s="4" t="s">
        <v>43</v>
      </c>
      <c r="H18" s="42">
        <v>5000</v>
      </c>
      <c r="I18" s="42"/>
      <c r="J18" s="42">
        <f t="shared" ref="J18:J81" si="4">J17+H18-I18</f>
        <v>-24626</v>
      </c>
      <c r="L18" s="56"/>
      <c r="O18" s="56">
        <f>H18</f>
        <v>5000</v>
      </c>
      <c r="Q18" s="56">
        <f t="shared" ref="Q18:Q22" si="5">Q17+O18-P18</f>
        <v>228284</v>
      </c>
    </row>
    <row r="19" spans="1:17" s="1" customFormat="1" ht="20.25" customHeight="1" x14ac:dyDescent="0.15">
      <c r="A19" s="3">
        <f t="shared" si="0"/>
        <v>16</v>
      </c>
      <c r="B19" s="41">
        <v>5</v>
      </c>
      <c r="C19" s="50">
        <v>7</v>
      </c>
      <c r="D19" s="50">
        <v>10</v>
      </c>
      <c r="E19" s="64" t="s">
        <v>50</v>
      </c>
      <c r="F19" s="19" t="s">
        <v>49</v>
      </c>
      <c r="G19" s="4" t="s">
        <v>30</v>
      </c>
      <c r="H19" s="42"/>
      <c r="I19" s="42">
        <v>884</v>
      </c>
      <c r="J19" s="42">
        <f t="shared" si="4"/>
        <v>-25510</v>
      </c>
      <c r="L19" s="56" t="s">
        <v>53</v>
      </c>
      <c r="M19" s="56">
        <f>I19+I20+I24</f>
        <v>6714</v>
      </c>
      <c r="Q19" s="56" t="e">
        <f>#REF!+O19-P19</f>
        <v>#REF!</v>
      </c>
    </row>
    <row r="20" spans="1:17" s="1" customFormat="1" ht="20.25" customHeight="1" x14ac:dyDescent="0.15">
      <c r="A20" s="3">
        <f t="shared" si="0"/>
        <v>17</v>
      </c>
      <c r="B20" s="41">
        <v>5</v>
      </c>
      <c r="C20" s="50">
        <v>7</v>
      </c>
      <c r="D20" s="50">
        <v>13</v>
      </c>
      <c r="E20" s="64" t="s">
        <v>50</v>
      </c>
      <c r="F20" s="19" t="s">
        <v>49</v>
      </c>
      <c r="G20" s="4" t="s">
        <v>30</v>
      </c>
      <c r="H20" s="42"/>
      <c r="I20" s="42">
        <v>3520</v>
      </c>
      <c r="J20" s="42">
        <f t="shared" si="4"/>
        <v>-29030</v>
      </c>
      <c r="L20" s="56"/>
      <c r="Q20" s="56" t="e">
        <f t="shared" si="5"/>
        <v>#REF!</v>
      </c>
    </row>
    <row r="21" spans="1:17" s="1" customFormat="1" ht="20.25" customHeight="1" x14ac:dyDescent="0.15">
      <c r="A21" s="3">
        <f t="shared" si="0"/>
        <v>18</v>
      </c>
      <c r="B21" s="41">
        <v>5</v>
      </c>
      <c r="C21" s="50">
        <v>7</v>
      </c>
      <c r="D21" s="50">
        <v>14</v>
      </c>
      <c r="E21" s="7" t="s">
        <v>178</v>
      </c>
      <c r="F21" s="19" t="s">
        <v>39</v>
      </c>
      <c r="G21" s="4" t="s">
        <v>55</v>
      </c>
      <c r="H21" s="42">
        <v>39000</v>
      </c>
      <c r="I21" s="42"/>
      <c r="J21" s="42">
        <f t="shared" si="4"/>
        <v>9970</v>
      </c>
      <c r="L21" s="56" t="s">
        <v>127</v>
      </c>
      <c r="M21" s="56">
        <f>H14+H21</f>
        <v>540500</v>
      </c>
      <c r="O21" s="56">
        <f>H21</f>
        <v>39000</v>
      </c>
      <c r="Q21" s="56" t="e">
        <f t="shared" si="5"/>
        <v>#REF!</v>
      </c>
    </row>
    <row r="22" spans="1:17" s="1" customFormat="1" ht="20.25" customHeight="1" x14ac:dyDescent="0.15">
      <c r="A22" s="3">
        <f t="shared" si="0"/>
        <v>19</v>
      </c>
      <c r="B22" s="41">
        <v>5</v>
      </c>
      <c r="C22" s="50">
        <v>7</v>
      </c>
      <c r="D22" s="50">
        <v>14</v>
      </c>
      <c r="E22" s="7" t="s">
        <v>41</v>
      </c>
      <c r="F22" s="19" t="s">
        <v>42</v>
      </c>
      <c r="G22" s="4" t="s">
        <v>51</v>
      </c>
      <c r="H22" s="42">
        <v>5000</v>
      </c>
      <c r="I22" s="42"/>
      <c r="J22" s="42">
        <f t="shared" si="4"/>
        <v>14970</v>
      </c>
      <c r="L22" s="76"/>
      <c r="O22" s="56">
        <f>H22</f>
        <v>5000</v>
      </c>
      <c r="Q22" s="56" t="e">
        <f t="shared" si="5"/>
        <v>#REF!</v>
      </c>
    </row>
    <row r="23" spans="1:17" s="1" customFormat="1" ht="20.25" customHeight="1" x14ac:dyDescent="0.15">
      <c r="A23" s="3">
        <f t="shared" si="0"/>
        <v>20</v>
      </c>
      <c r="B23" s="41">
        <v>5</v>
      </c>
      <c r="C23" s="50">
        <v>7</v>
      </c>
      <c r="D23" s="50">
        <v>14</v>
      </c>
      <c r="E23" s="7" t="s">
        <v>133</v>
      </c>
      <c r="F23" s="19">
        <v>2</v>
      </c>
      <c r="G23" s="4" t="s">
        <v>134</v>
      </c>
      <c r="H23" s="42"/>
      <c r="I23" s="42">
        <v>4000</v>
      </c>
      <c r="J23" s="42">
        <f t="shared" si="4"/>
        <v>10970</v>
      </c>
      <c r="L23" s="56" t="s">
        <v>128</v>
      </c>
      <c r="M23" s="56">
        <f>SUM(H17:H48)-H21</f>
        <v>158000</v>
      </c>
      <c r="O23" s="56">
        <f>H23</f>
        <v>0</v>
      </c>
      <c r="Q23" s="56" t="e">
        <f t="shared" ref="Q23" si="6">Q22+O23-P23</f>
        <v>#REF!</v>
      </c>
    </row>
    <row r="24" spans="1:17" s="1" customFormat="1" ht="20.25" customHeight="1" x14ac:dyDescent="0.15">
      <c r="A24" s="3">
        <f t="shared" si="0"/>
        <v>21</v>
      </c>
      <c r="B24" s="41">
        <v>5</v>
      </c>
      <c r="C24" s="50">
        <v>7</v>
      </c>
      <c r="D24" s="50">
        <v>15</v>
      </c>
      <c r="E24" s="64" t="s">
        <v>50</v>
      </c>
      <c r="F24" s="19" t="s">
        <v>49</v>
      </c>
      <c r="G24" s="4" t="s">
        <v>30</v>
      </c>
      <c r="H24" s="42"/>
      <c r="I24" s="42">
        <v>2310</v>
      </c>
      <c r="J24" s="42">
        <f t="shared" si="4"/>
        <v>8660</v>
      </c>
      <c r="L24" s="158" t="s">
        <v>271</v>
      </c>
      <c r="M24" s="56">
        <f>H22</f>
        <v>5000</v>
      </c>
      <c r="P24" s="56">
        <f>M19</f>
        <v>6714</v>
      </c>
      <c r="Q24" s="56" t="e">
        <f>Q22+O24-P24</f>
        <v>#REF!</v>
      </c>
    </row>
    <row r="25" spans="1:17" s="1" customFormat="1" ht="20.25" customHeight="1" x14ac:dyDescent="0.15">
      <c r="A25" s="3">
        <f t="shared" si="0"/>
        <v>22</v>
      </c>
      <c r="B25" s="41">
        <v>5</v>
      </c>
      <c r="C25" s="50">
        <v>7</v>
      </c>
      <c r="D25" s="50">
        <v>15</v>
      </c>
      <c r="E25" s="7" t="s">
        <v>41</v>
      </c>
      <c r="F25" s="19" t="s">
        <v>39</v>
      </c>
      <c r="G25" s="7" t="s">
        <v>61</v>
      </c>
      <c r="H25" s="42">
        <v>5000</v>
      </c>
      <c r="I25" s="42"/>
      <c r="J25" s="42">
        <f t="shared" si="4"/>
        <v>13660</v>
      </c>
      <c r="L25" s="56" t="s">
        <v>253</v>
      </c>
      <c r="M25" s="56">
        <f>SUM(H25:H43)</f>
        <v>123000</v>
      </c>
      <c r="N25" s="56">
        <f>SUM(H49:H50)</f>
        <v>15000</v>
      </c>
    </row>
    <row r="26" spans="1:17" s="1" customFormat="1" ht="20.25" customHeight="1" x14ac:dyDescent="0.15">
      <c r="A26" s="3">
        <f t="shared" si="0"/>
        <v>23</v>
      </c>
      <c r="B26" s="41">
        <v>5</v>
      </c>
      <c r="C26" s="50">
        <v>7</v>
      </c>
      <c r="D26" s="50">
        <v>15</v>
      </c>
      <c r="E26" s="7" t="s">
        <v>41</v>
      </c>
      <c r="F26" s="19" t="s">
        <v>39</v>
      </c>
      <c r="G26" s="7" t="s">
        <v>62</v>
      </c>
      <c r="H26" s="42">
        <v>10000</v>
      </c>
      <c r="I26" s="42"/>
      <c r="J26" s="42">
        <f t="shared" si="4"/>
        <v>23660</v>
      </c>
      <c r="L26" s="56" t="s">
        <v>254</v>
      </c>
      <c r="M26" s="56">
        <f>SUM(H44:H48)</f>
        <v>23000</v>
      </c>
      <c r="N26" s="56">
        <f>SUM(H51:H88)</f>
        <v>194000</v>
      </c>
    </row>
    <row r="27" spans="1:17" s="1" customFormat="1" ht="20.25" customHeight="1" x14ac:dyDescent="0.15">
      <c r="A27" s="3">
        <f t="shared" si="0"/>
        <v>24</v>
      </c>
      <c r="B27" s="41">
        <v>5</v>
      </c>
      <c r="C27" s="50">
        <v>7</v>
      </c>
      <c r="D27" s="50">
        <v>15</v>
      </c>
      <c r="E27" s="7" t="s">
        <v>41</v>
      </c>
      <c r="F27" s="19" t="s">
        <v>39</v>
      </c>
      <c r="G27" s="7" t="s">
        <v>63</v>
      </c>
      <c r="H27" s="42">
        <v>5000</v>
      </c>
      <c r="I27" s="42"/>
      <c r="J27" s="42">
        <f t="shared" si="4"/>
        <v>28660</v>
      </c>
      <c r="L27" s="56" t="s">
        <v>255</v>
      </c>
    </row>
    <row r="28" spans="1:17" s="1" customFormat="1" ht="20.25" customHeight="1" x14ac:dyDescent="0.15">
      <c r="A28" s="3">
        <f t="shared" si="0"/>
        <v>25</v>
      </c>
      <c r="B28" s="41">
        <v>5</v>
      </c>
      <c r="C28" s="50">
        <v>7</v>
      </c>
      <c r="D28" s="50">
        <v>15</v>
      </c>
      <c r="E28" s="7" t="s">
        <v>41</v>
      </c>
      <c r="F28" s="19" t="s">
        <v>39</v>
      </c>
      <c r="G28" s="7" t="s">
        <v>64</v>
      </c>
      <c r="H28" s="42">
        <v>5000</v>
      </c>
      <c r="I28" s="42"/>
      <c r="J28" s="42">
        <f t="shared" si="4"/>
        <v>33660</v>
      </c>
      <c r="L28" s="56" t="s">
        <v>129</v>
      </c>
      <c r="M28" s="56">
        <f>SUM(H49:H88)</f>
        <v>209000</v>
      </c>
      <c r="N28" s="56">
        <f>SUM(N25:N26)</f>
        <v>209000</v>
      </c>
    </row>
    <row r="29" spans="1:17" s="1" customFormat="1" ht="20.25" customHeight="1" x14ac:dyDescent="0.15">
      <c r="A29" s="3">
        <f t="shared" si="0"/>
        <v>26</v>
      </c>
      <c r="B29" s="41">
        <v>5</v>
      </c>
      <c r="C29" s="50">
        <v>7</v>
      </c>
      <c r="D29" s="50">
        <v>15</v>
      </c>
      <c r="E29" s="7" t="s">
        <v>41</v>
      </c>
      <c r="F29" s="19" t="s">
        <v>39</v>
      </c>
      <c r="G29" s="7" t="s">
        <v>65</v>
      </c>
      <c r="H29" s="42">
        <v>5000</v>
      </c>
      <c r="I29" s="42"/>
      <c r="J29" s="42">
        <f t="shared" si="4"/>
        <v>38660</v>
      </c>
      <c r="L29" s="56"/>
    </row>
    <row r="30" spans="1:17" s="1" customFormat="1" ht="20.25" customHeight="1" x14ac:dyDescent="0.15">
      <c r="A30" s="3">
        <f t="shared" si="0"/>
        <v>27</v>
      </c>
      <c r="B30" s="41">
        <v>5</v>
      </c>
      <c r="C30" s="50">
        <v>7</v>
      </c>
      <c r="D30" s="50">
        <v>15</v>
      </c>
      <c r="E30" s="7" t="s">
        <v>41</v>
      </c>
      <c r="F30" s="19" t="s">
        <v>39</v>
      </c>
      <c r="G30" s="7" t="s">
        <v>66</v>
      </c>
      <c r="H30" s="42">
        <v>10000</v>
      </c>
      <c r="I30" s="42"/>
      <c r="J30" s="42">
        <f t="shared" si="4"/>
        <v>48660</v>
      </c>
      <c r="L30" s="56"/>
    </row>
    <row r="31" spans="1:17" s="1" customFormat="1" ht="20.25" customHeight="1" x14ac:dyDescent="0.15">
      <c r="A31" s="3">
        <f t="shared" si="0"/>
        <v>28</v>
      </c>
      <c r="B31" s="41">
        <v>5</v>
      </c>
      <c r="C31" s="50">
        <v>7</v>
      </c>
      <c r="D31" s="50">
        <v>15</v>
      </c>
      <c r="E31" s="7" t="s">
        <v>41</v>
      </c>
      <c r="F31" s="19" t="s">
        <v>39</v>
      </c>
      <c r="G31" s="7" t="s">
        <v>67</v>
      </c>
      <c r="H31" s="42">
        <v>10000</v>
      </c>
      <c r="I31" s="42"/>
      <c r="J31" s="42">
        <f t="shared" si="4"/>
        <v>58660</v>
      </c>
      <c r="L31" s="56"/>
    </row>
    <row r="32" spans="1:17" s="1" customFormat="1" ht="20.25" customHeight="1" x14ac:dyDescent="0.15">
      <c r="A32" s="3">
        <f t="shared" si="0"/>
        <v>29</v>
      </c>
      <c r="B32" s="41">
        <v>5</v>
      </c>
      <c r="C32" s="50">
        <v>7</v>
      </c>
      <c r="D32" s="50">
        <v>15</v>
      </c>
      <c r="E32" s="7" t="s">
        <v>41</v>
      </c>
      <c r="F32" s="19" t="s">
        <v>39</v>
      </c>
      <c r="G32" s="7" t="s">
        <v>68</v>
      </c>
      <c r="H32" s="42">
        <v>5000</v>
      </c>
      <c r="I32" s="42"/>
      <c r="J32" s="42">
        <f t="shared" si="4"/>
        <v>63660</v>
      </c>
      <c r="L32" s="56"/>
    </row>
    <row r="33" spans="1:12" s="1" customFormat="1" ht="20.25" customHeight="1" x14ac:dyDescent="0.15">
      <c r="A33" s="3">
        <f t="shared" si="0"/>
        <v>30</v>
      </c>
      <c r="B33" s="41">
        <v>5</v>
      </c>
      <c r="C33" s="50">
        <v>7</v>
      </c>
      <c r="D33" s="50">
        <v>15</v>
      </c>
      <c r="E33" s="7" t="s">
        <v>41</v>
      </c>
      <c r="F33" s="19" t="s">
        <v>39</v>
      </c>
      <c r="G33" s="7" t="s">
        <v>69</v>
      </c>
      <c r="H33" s="42">
        <v>5000</v>
      </c>
      <c r="I33" s="42"/>
      <c r="J33" s="42">
        <f t="shared" si="4"/>
        <v>68660</v>
      </c>
      <c r="L33" s="56"/>
    </row>
    <row r="34" spans="1:12" s="1" customFormat="1" ht="20.25" customHeight="1" x14ac:dyDescent="0.15">
      <c r="A34" s="3">
        <f t="shared" si="0"/>
        <v>31</v>
      </c>
      <c r="B34" s="41">
        <v>5</v>
      </c>
      <c r="C34" s="50">
        <v>7</v>
      </c>
      <c r="D34" s="50">
        <v>15</v>
      </c>
      <c r="E34" s="7" t="s">
        <v>41</v>
      </c>
      <c r="F34" s="19" t="s">
        <v>39</v>
      </c>
      <c r="G34" s="7" t="s">
        <v>70</v>
      </c>
      <c r="H34" s="42">
        <v>3000</v>
      </c>
      <c r="I34" s="42"/>
      <c r="J34" s="42">
        <f t="shared" si="4"/>
        <v>71660</v>
      </c>
      <c r="L34" s="56"/>
    </row>
    <row r="35" spans="1:12" s="1" customFormat="1" ht="20.25" customHeight="1" x14ac:dyDescent="0.15">
      <c r="A35" s="3">
        <f t="shared" si="0"/>
        <v>32</v>
      </c>
      <c r="B35" s="41">
        <v>5</v>
      </c>
      <c r="C35" s="50">
        <v>7</v>
      </c>
      <c r="D35" s="50">
        <v>15</v>
      </c>
      <c r="E35" s="7" t="s">
        <v>41</v>
      </c>
      <c r="F35" s="19" t="s">
        <v>39</v>
      </c>
      <c r="G35" s="7" t="s">
        <v>71</v>
      </c>
      <c r="H35" s="42">
        <v>5000</v>
      </c>
      <c r="I35" s="42"/>
      <c r="J35" s="42">
        <f t="shared" si="4"/>
        <v>76660</v>
      </c>
      <c r="L35" s="56"/>
    </row>
    <row r="36" spans="1:12" s="1" customFormat="1" ht="20.25" customHeight="1" x14ac:dyDescent="0.15">
      <c r="A36" s="3">
        <f t="shared" si="0"/>
        <v>33</v>
      </c>
      <c r="B36" s="41">
        <v>5</v>
      </c>
      <c r="C36" s="50">
        <v>7</v>
      </c>
      <c r="D36" s="50">
        <v>15</v>
      </c>
      <c r="E36" s="7" t="s">
        <v>41</v>
      </c>
      <c r="F36" s="19" t="s">
        <v>39</v>
      </c>
      <c r="G36" s="7" t="s">
        <v>72</v>
      </c>
      <c r="H36" s="42">
        <v>10000</v>
      </c>
      <c r="I36" s="42"/>
      <c r="J36" s="42">
        <f t="shared" si="4"/>
        <v>86660</v>
      </c>
      <c r="L36" s="56"/>
    </row>
    <row r="37" spans="1:12" s="1" customFormat="1" ht="20.25" customHeight="1" x14ac:dyDescent="0.15">
      <c r="A37" s="3">
        <f t="shared" si="0"/>
        <v>34</v>
      </c>
      <c r="B37" s="41">
        <v>5</v>
      </c>
      <c r="C37" s="50">
        <v>7</v>
      </c>
      <c r="D37" s="50">
        <v>15</v>
      </c>
      <c r="E37" s="7" t="s">
        <v>41</v>
      </c>
      <c r="F37" s="19" t="s">
        <v>39</v>
      </c>
      <c r="G37" s="7" t="s">
        <v>73</v>
      </c>
      <c r="H37" s="42">
        <v>5000</v>
      </c>
      <c r="I37" s="42"/>
      <c r="J37" s="42">
        <f t="shared" si="4"/>
        <v>91660</v>
      </c>
      <c r="L37" s="56"/>
    </row>
    <row r="38" spans="1:12" s="1" customFormat="1" ht="20.25" customHeight="1" x14ac:dyDescent="0.15">
      <c r="A38" s="3">
        <f t="shared" si="0"/>
        <v>35</v>
      </c>
      <c r="B38" s="41">
        <v>5</v>
      </c>
      <c r="C38" s="50">
        <v>7</v>
      </c>
      <c r="D38" s="50">
        <v>15</v>
      </c>
      <c r="E38" s="7" t="s">
        <v>77</v>
      </c>
      <c r="F38" s="19" t="s">
        <v>39</v>
      </c>
      <c r="G38" s="7" t="s">
        <v>73</v>
      </c>
      <c r="H38" s="42">
        <v>5000</v>
      </c>
      <c r="I38" s="42"/>
      <c r="J38" s="42">
        <f t="shared" si="4"/>
        <v>96660</v>
      </c>
      <c r="L38" s="56"/>
    </row>
    <row r="39" spans="1:12" s="1" customFormat="1" ht="20.25" customHeight="1" x14ac:dyDescent="0.15">
      <c r="A39" s="3">
        <f t="shared" si="0"/>
        <v>36</v>
      </c>
      <c r="B39" s="41">
        <v>5</v>
      </c>
      <c r="C39" s="50">
        <v>7</v>
      </c>
      <c r="D39" s="50">
        <v>15</v>
      </c>
      <c r="E39" s="7" t="s">
        <v>41</v>
      </c>
      <c r="F39" s="19" t="s">
        <v>39</v>
      </c>
      <c r="G39" s="7" t="s">
        <v>74</v>
      </c>
      <c r="H39" s="42">
        <v>5000</v>
      </c>
      <c r="I39" s="42"/>
      <c r="J39" s="42">
        <f t="shared" si="4"/>
        <v>101660</v>
      </c>
      <c r="L39" s="56"/>
    </row>
    <row r="40" spans="1:12" s="1" customFormat="1" ht="20.25" customHeight="1" x14ac:dyDescent="0.15">
      <c r="A40" s="3">
        <f t="shared" si="0"/>
        <v>37</v>
      </c>
      <c r="B40" s="41">
        <v>5</v>
      </c>
      <c r="C40" s="50">
        <v>7</v>
      </c>
      <c r="D40" s="50">
        <v>15</v>
      </c>
      <c r="E40" s="7" t="s">
        <v>41</v>
      </c>
      <c r="F40" s="19" t="s">
        <v>39</v>
      </c>
      <c r="G40" s="7" t="s">
        <v>75</v>
      </c>
      <c r="H40" s="42">
        <v>5000</v>
      </c>
      <c r="I40" s="42"/>
      <c r="J40" s="42">
        <f t="shared" si="4"/>
        <v>106660</v>
      </c>
      <c r="L40" s="56"/>
    </row>
    <row r="41" spans="1:12" s="1" customFormat="1" ht="20.25" customHeight="1" x14ac:dyDescent="0.15">
      <c r="A41" s="3">
        <f t="shared" si="0"/>
        <v>38</v>
      </c>
      <c r="B41" s="41">
        <v>5</v>
      </c>
      <c r="C41" s="50">
        <v>7</v>
      </c>
      <c r="D41" s="50">
        <v>15</v>
      </c>
      <c r="E41" s="7" t="s">
        <v>41</v>
      </c>
      <c r="F41" s="19" t="s">
        <v>39</v>
      </c>
      <c r="G41" s="7" t="s">
        <v>76</v>
      </c>
      <c r="H41" s="42">
        <v>10000</v>
      </c>
      <c r="I41" s="42"/>
      <c r="J41" s="42">
        <f t="shared" si="4"/>
        <v>116660</v>
      </c>
      <c r="L41" s="56"/>
    </row>
    <row r="42" spans="1:12" s="1" customFormat="1" ht="20.25" customHeight="1" x14ac:dyDescent="0.15">
      <c r="A42" s="3">
        <f t="shared" si="0"/>
        <v>39</v>
      </c>
      <c r="B42" s="41">
        <v>5</v>
      </c>
      <c r="C42" s="50">
        <v>7</v>
      </c>
      <c r="D42" s="50">
        <v>15</v>
      </c>
      <c r="E42" s="7" t="s">
        <v>41</v>
      </c>
      <c r="F42" s="19" t="s">
        <v>39</v>
      </c>
      <c r="G42" s="4" t="s">
        <v>78</v>
      </c>
      <c r="H42" s="42">
        <v>5000</v>
      </c>
      <c r="I42" s="42"/>
      <c r="J42" s="42">
        <f t="shared" si="4"/>
        <v>121660</v>
      </c>
      <c r="L42" s="56"/>
    </row>
    <row r="43" spans="1:12" s="1" customFormat="1" ht="20.25" customHeight="1" x14ac:dyDescent="0.15">
      <c r="A43" s="3">
        <f t="shared" si="0"/>
        <v>40</v>
      </c>
      <c r="B43" s="41">
        <v>5</v>
      </c>
      <c r="C43" s="50">
        <v>7</v>
      </c>
      <c r="D43" s="50">
        <v>15</v>
      </c>
      <c r="E43" s="7" t="s">
        <v>41</v>
      </c>
      <c r="F43" s="19" t="s">
        <v>39</v>
      </c>
      <c r="G43" s="4" t="s">
        <v>79</v>
      </c>
      <c r="H43" s="42">
        <v>10000</v>
      </c>
      <c r="I43" s="42"/>
      <c r="J43" s="42">
        <f t="shared" si="4"/>
        <v>131660</v>
      </c>
      <c r="L43" s="56"/>
    </row>
    <row r="44" spans="1:12" s="1" customFormat="1" ht="20.25" customHeight="1" x14ac:dyDescent="0.15">
      <c r="A44" s="3">
        <f t="shared" si="0"/>
        <v>41</v>
      </c>
      <c r="B44" s="41">
        <v>5</v>
      </c>
      <c r="C44" s="50">
        <v>7</v>
      </c>
      <c r="D44" s="50">
        <v>16</v>
      </c>
      <c r="E44" s="7" t="s">
        <v>41</v>
      </c>
      <c r="F44" s="19" t="s">
        <v>39</v>
      </c>
      <c r="G44" s="4" t="s">
        <v>80</v>
      </c>
      <c r="H44" s="42">
        <v>5000</v>
      </c>
      <c r="I44" s="42"/>
      <c r="J44" s="42">
        <f t="shared" si="4"/>
        <v>136660</v>
      </c>
      <c r="L44" s="56">
        <f>SUM(H44:H86)</f>
        <v>225000</v>
      </c>
    </row>
    <row r="45" spans="1:12" s="1" customFormat="1" ht="20.25" customHeight="1" x14ac:dyDescent="0.15">
      <c r="A45" s="3">
        <f t="shared" si="0"/>
        <v>42</v>
      </c>
      <c r="B45" s="41">
        <v>5</v>
      </c>
      <c r="C45" s="50">
        <v>7</v>
      </c>
      <c r="D45" s="50">
        <v>16</v>
      </c>
      <c r="E45" s="7" t="s">
        <v>41</v>
      </c>
      <c r="F45" s="19" t="s">
        <v>39</v>
      </c>
      <c r="G45" s="4" t="s">
        <v>81</v>
      </c>
      <c r="H45" s="42">
        <v>5000</v>
      </c>
      <c r="I45" s="42"/>
      <c r="J45" s="42">
        <f t="shared" si="4"/>
        <v>141660</v>
      </c>
      <c r="L45" s="56"/>
    </row>
    <row r="46" spans="1:12" s="1" customFormat="1" ht="20.25" customHeight="1" x14ac:dyDescent="0.15">
      <c r="A46" s="3">
        <f t="shared" si="0"/>
        <v>43</v>
      </c>
      <c r="B46" s="41">
        <v>5</v>
      </c>
      <c r="C46" s="50">
        <v>7</v>
      </c>
      <c r="D46" s="50">
        <v>16</v>
      </c>
      <c r="E46" s="7" t="s">
        <v>41</v>
      </c>
      <c r="F46" s="19" t="s">
        <v>39</v>
      </c>
      <c r="G46" s="4" t="s">
        <v>82</v>
      </c>
      <c r="H46" s="42">
        <v>5000</v>
      </c>
      <c r="I46" s="42"/>
      <c r="J46" s="42">
        <f t="shared" si="4"/>
        <v>146660</v>
      </c>
      <c r="L46" s="56"/>
    </row>
    <row r="47" spans="1:12" s="1" customFormat="1" ht="20.25" customHeight="1" x14ac:dyDescent="0.15">
      <c r="A47" s="3">
        <f t="shared" si="0"/>
        <v>44</v>
      </c>
      <c r="B47" s="41">
        <v>5</v>
      </c>
      <c r="C47" s="50">
        <v>7</v>
      </c>
      <c r="D47" s="50">
        <v>16</v>
      </c>
      <c r="E47" s="7" t="s">
        <v>41</v>
      </c>
      <c r="F47" s="19" t="s">
        <v>39</v>
      </c>
      <c r="G47" s="4" t="s">
        <v>83</v>
      </c>
      <c r="H47" s="42">
        <v>3000</v>
      </c>
      <c r="I47" s="42"/>
      <c r="J47" s="42">
        <f t="shared" si="4"/>
        <v>149660</v>
      </c>
      <c r="L47" s="56"/>
    </row>
    <row r="48" spans="1:12" s="1" customFormat="1" ht="20.25" customHeight="1" x14ac:dyDescent="0.15">
      <c r="A48" s="3">
        <f t="shared" si="0"/>
        <v>45</v>
      </c>
      <c r="B48" s="41">
        <v>5</v>
      </c>
      <c r="C48" s="50">
        <v>7</v>
      </c>
      <c r="D48" s="50">
        <v>16</v>
      </c>
      <c r="E48" s="7" t="s">
        <v>41</v>
      </c>
      <c r="F48" s="19" t="s">
        <v>39</v>
      </c>
      <c r="G48" s="4" t="s">
        <v>84</v>
      </c>
      <c r="H48" s="42">
        <v>5000</v>
      </c>
      <c r="I48" s="42"/>
      <c r="J48" s="42">
        <f t="shared" si="4"/>
        <v>154660</v>
      </c>
      <c r="L48" s="56"/>
    </row>
    <row r="49" spans="1:12" s="1" customFormat="1" ht="20.25" customHeight="1" x14ac:dyDescent="0.15">
      <c r="A49" s="3">
        <f t="shared" si="0"/>
        <v>46</v>
      </c>
      <c r="B49" s="41">
        <v>5</v>
      </c>
      <c r="C49" s="50">
        <v>7</v>
      </c>
      <c r="D49" s="50">
        <v>15</v>
      </c>
      <c r="E49" s="7" t="s">
        <v>85</v>
      </c>
      <c r="F49" s="19" t="s">
        <v>39</v>
      </c>
      <c r="G49" s="4" t="s">
        <v>86</v>
      </c>
      <c r="H49" s="42">
        <v>5000</v>
      </c>
      <c r="I49" s="42"/>
      <c r="J49" s="42">
        <f t="shared" si="4"/>
        <v>159660</v>
      </c>
      <c r="L49" s="56"/>
    </row>
    <row r="50" spans="1:12" s="1" customFormat="1" ht="20.25" customHeight="1" x14ac:dyDescent="0.15">
      <c r="A50" s="3">
        <f t="shared" si="0"/>
        <v>47</v>
      </c>
      <c r="B50" s="41">
        <v>5</v>
      </c>
      <c r="C50" s="50">
        <v>7</v>
      </c>
      <c r="D50" s="50">
        <v>15</v>
      </c>
      <c r="E50" s="7" t="s">
        <v>48</v>
      </c>
      <c r="F50" s="19" t="s">
        <v>39</v>
      </c>
      <c r="G50" s="7" t="s">
        <v>73</v>
      </c>
      <c r="H50" s="42">
        <v>10000</v>
      </c>
      <c r="I50" s="42"/>
      <c r="J50" s="42">
        <f t="shared" si="4"/>
        <v>169660</v>
      </c>
      <c r="L50" s="56"/>
    </row>
    <row r="51" spans="1:12" s="1" customFormat="1" ht="20.25" customHeight="1" x14ac:dyDescent="0.15">
      <c r="A51" s="3">
        <f t="shared" si="0"/>
        <v>48</v>
      </c>
      <c r="B51" s="41">
        <v>5</v>
      </c>
      <c r="C51" s="50">
        <v>7</v>
      </c>
      <c r="D51" s="50">
        <v>16</v>
      </c>
      <c r="E51" s="7" t="s">
        <v>48</v>
      </c>
      <c r="F51" s="19" t="s">
        <v>39</v>
      </c>
      <c r="G51" s="4" t="s">
        <v>87</v>
      </c>
      <c r="H51" s="42">
        <v>5000</v>
      </c>
      <c r="I51" s="42"/>
      <c r="J51" s="42">
        <f t="shared" si="4"/>
        <v>174660</v>
      </c>
      <c r="L51" s="56"/>
    </row>
    <row r="52" spans="1:12" s="1" customFormat="1" ht="20.25" customHeight="1" x14ac:dyDescent="0.15">
      <c r="A52" s="3">
        <f t="shared" si="0"/>
        <v>49</v>
      </c>
      <c r="B52" s="41">
        <v>5</v>
      </c>
      <c r="C52" s="50">
        <v>7</v>
      </c>
      <c r="D52" s="50">
        <v>16</v>
      </c>
      <c r="E52" s="7" t="s">
        <v>48</v>
      </c>
      <c r="F52" s="19" t="s">
        <v>39</v>
      </c>
      <c r="G52" s="4" t="s">
        <v>88</v>
      </c>
      <c r="H52" s="42">
        <v>5000</v>
      </c>
      <c r="I52" s="42"/>
      <c r="J52" s="42">
        <f t="shared" si="4"/>
        <v>179660</v>
      </c>
      <c r="L52" s="56"/>
    </row>
    <row r="53" spans="1:12" s="1" customFormat="1" ht="20.25" customHeight="1" x14ac:dyDescent="0.15">
      <c r="A53" s="3">
        <f t="shared" si="0"/>
        <v>50</v>
      </c>
      <c r="B53" s="41">
        <v>5</v>
      </c>
      <c r="C53" s="50">
        <v>7</v>
      </c>
      <c r="D53" s="50">
        <v>16</v>
      </c>
      <c r="E53" s="7" t="s">
        <v>48</v>
      </c>
      <c r="F53" s="19" t="s">
        <v>39</v>
      </c>
      <c r="G53" s="4" t="s">
        <v>89</v>
      </c>
      <c r="H53" s="42">
        <v>5000</v>
      </c>
      <c r="I53" s="42"/>
      <c r="J53" s="42">
        <f t="shared" si="4"/>
        <v>184660</v>
      </c>
      <c r="L53" s="56"/>
    </row>
    <row r="54" spans="1:12" s="1" customFormat="1" ht="20.25" customHeight="1" x14ac:dyDescent="0.15">
      <c r="A54" s="3">
        <f t="shared" si="0"/>
        <v>51</v>
      </c>
      <c r="B54" s="41">
        <v>5</v>
      </c>
      <c r="C54" s="50">
        <v>7</v>
      </c>
      <c r="D54" s="50">
        <v>16</v>
      </c>
      <c r="E54" s="7" t="s">
        <v>48</v>
      </c>
      <c r="F54" s="19" t="s">
        <v>39</v>
      </c>
      <c r="G54" s="4" t="s">
        <v>90</v>
      </c>
      <c r="H54" s="42">
        <v>5000</v>
      </c>
      <c r="I54" s="42"/>
      <c r="J54" s="42">
        <f t="shared" si="4"/>
        <v>189660</v>
      </c>
      <c r="L54" s="56"/>
    </row>
    <row r="55" spans="1:12" s="1" customFormat="1" ht="20.25" customHeight="1" x14ac:dyDescent="0.15">
      <c r="A55" s="3">
        <f t="shared" si="0"/>
        <v>52</v>
      </c>
      <c r="B55" s="41">
        <v>5</v>
      </c>
      <c r="C55" s="50">
        <v>7</v>
      </c>
      <c r="D55" s="50">
        <v>16</v>
      </c>
      <c r="E55" s="7" t="s">
        <v>48</v>
      </c>
      <c r="F55" s="19" t="s">
        <v>39</v>
      </c>
      <c r="G55" s="4" t="s">
        <v>91</v>
      </c>
      <c r="H55" s="42">
        <v>5000</v>
      </c>
      <c r="I55" s="42"/>
      <c r="J55" s="42">
        <f t="shared" si="4"/>
        <v>194660</v>
      </c>
      <c r="L55" s="56"/>
    </row>
    <row r="56" spans="1:12" s="1" customFormat="1" ht="20.25" customHeight="1" x14ac:dyDescent="0.15">
      <c r="A56" s="3">
        <f t="shared" si="0"/>
        <v>53</v>
      </c>
      <c r="B56" s="41">
        <v>5</v>
      </c>
      <c r="C56" s="50">
        <v>7</v>
      </c>
      <c r="D56" s="50">
        <v>16</v>
      </c>
      <c r="E56" s="7" t="s">
        <v>48</v>
      </c>
      <c r="F56" s="19" t="s">
        <v>39</v>
      </c>
      <c r="G56" s="4" t="s">
        <v>92</v>
      </c>
      <c r="H56" s="42">
        <v>5000</v>
      </c>
      <c r="I56" s="42"/>
      <c r="J56" s="42">
        <f t="shared" si="4"/>
        <v>199660</v>
      </c>
      <c r="L56" s="56"/>
    </row>
    <row r="57" spans="1:12" s="1" customFormat="1" ht="20.25" customHeight="1" x14ac:dyDescent="0.15">
      <c r="A57" s="3">
        <f t="shared" si="0"/>
        <v>54</v>
      </c>
      <c r="B57" s="41">
        <v>5</v>
      </c>
      <c r="C57" s="50">
        <v>7</v>
      </c>
      <c r="D57" s="50">
        <v>16</v>
      </c>
      <c r="E57" s="7" t="s">
        <v>48</v>
      </c>
      <c r="F57" s="19" t="s">
        <v>39</v>
      </c>
      <c r="G57" s="4" t="s">
        <v>93</v>
      </c>
      <c r="H57" s="42">
        <v>5000</v>
      </c>
      <c r="I57" s="42"/>
      <c r="J57" s="42">
        <f t="shared" si="4"/>
        <v>204660</v>
      </c>
      <c r="L57" s="56"/>
    </row>
    <row r="58" spans="1:12" s="1" customFormat="1" ht="20.25" customHeight="1" x14ac:dyDescent="0.15">
      <c r="A58" s="3">
        <f t="shared" si="0"/>
        <v>55</v>
      </c>
      <c r="B58" s="41">
        <v>5</v>
      </c>
      <c r="C58" s="50">
        <v>7</v>
      </c>
      <c r="D58" s="50">
        <v>16</v>
      </c>
      <c r="E58" s="7" t="s">
        <v>48</v>
      </c>
      <c r="F58" s="19" t="s">
        <v>39</v>
      </c>
      <c r="G58" s="4" t="s">
        <v>94</v>
      </c>
      <c r="H58" s="42">
        <v>3000</v>
      </c>
      <c r="I58" s="42"/>
      <c r="J58" s="42">
        <f t="shared" si="4"/>
        <v>207660</v>
      </c>
      <c r="L58" s="56"/>
    </row>
    <row r="59" spans="1:12" s="1" customFormat="1" ht="20.25" customHeight="1" x14ac:dyDescent="0.15">
      <c r="A59" s="3">
        <f t="shared" si="0"/>
        <v>56</v>
      </c>
      <c r="B59" s="41">
        <v>5</v>
      </c>
      <c r="C59" s="50">
        <v>7</v>
      </c>
      <c r="D59" s="50">
        <v>16</v>
      </c>
      <c r="E59" s="7" t="s">
        <v>48</v>
      </c>
      <c r="F59" s="19" t="s">
        <v>39</v>
      </c>
      <c r="G59" s="4" t="s">
        <v>95</v>
      </c>
      <c r="H59" s="42">
        <v>5000</v>
      </c>
      <c r="I59" s="42"/>
      <c r="J59" s="42">
        <f t="shared" si="4"/>
        <v>212660</v>
      </c>
      <c r="L59" s="56"/>
    </row>
    <row r="60" spans="1:12" s="1" customFormat="1" ht="20.25" customHeight="1" x14ac:dyDescent="0.15">
      <c r="A60" s="3">
        <f t="shared" si="0"/>
        <v>57</v>
      </c>
      <c r="B60" s="41">
        <v>5</v>
      </c>
      <c r="C60" s="50">
        <v>7</v>
      </c>
      <c r="D60" s="50">
        <v>16</v>
      </c>
      <c r="E60" s="7" t="s">
        <v>48</v>
      </c>
      <c r="F60" s="19" t="s">
        <v>39</v>
      </c>
      <c r="G60" s="4" t="s">
        <v>96</v>
      </c>
      <c r="H60" s="42">
        <v>5000</v>
      </c>
      <c r="I60" s="42"/>
      <c r="J60" s="42">
        <f t="shared" si="4"/>
        <v>217660</v>
      </c>
      <c r="L60" s="56"/>
    </row>
    <row r="61" spans="1:12" s="1" customFormat="1" ht="20.25" customHeight="1" x14ac:dyDescent="0.15">
      <c r="A61" s="3">
        <f t="shared" si="0"/>
        <v>58</v>
      </c>
      <c r="B61" s="41">
        <v>5</v>
      </c>
      <c r="C61" s="50">
        <v>7</v>
      </c>
      <c r="D61" s="50">
        <v>16</v>
      </c>
      <c r="E61" s="7" t="s">
        <v>48</v>
      </c>
      <c r="F61" s="19" t="s">
        <v>39</v>
      </c>
      <c r="G61" s="4" t="s">
        <v>97</v>
      </c>
      <c r="H61" s="42">
        <v>5000</v>
      </c>
      <c r="I61" s="42"/>
      <c r="J61" s="42">
        <f t="shared" si="4"/>
        <v>222660</v>
      </c>
      <c r="L61" s="56"/>
    </row>
    <row r="62" spans="1:12" s="1" customFormat="1" ht="20.25" customHeight="1" x14ac:dyDescent="0.15">
      <c r="A62" s="3">
        <f t="shared" si="0"/>
        <v>59</v>
      </c>
      <c r="B62" s="41">
        <v>5</v>
      </c>
      <c r="C62" s="50">
        <v>7</v>
      </c>
      <c r="D62" s="50">
        <v>16</v>
      </c>
      <c r="E62" s="7" t="s">
        <v>48</v>
      </c>
      <c r="F62" s="19" t="s">
        <v>39</v>
      </c>
      <c r="G62" s="4" t="s">
        <v>98</v>
      </c>
      <c r="H62" s="42">
        <v>10000</v>
      </c>
      <c r="I62" s="42"/>
      <c r="J62" s="42">
        <f t="shared" si="4"/>
        <v>232660</v>
      </c>
      <c r="L62" s="56"/>
    </row>
    <row r="63" spans="1:12" s="1" customFormat="1" ht="20.25" customHeight="1" x14ac:dyDescent="0.15">
      <c r="A63" s="3">
        <f t="shared" si="0"/>
        <v>60</v>
      </c>
      <c r="B63" s="41">
        <v>5</v>
      </c>
      <c r="C63" s="50">
        <v>7</v>
      </c>
      <c r="D63" s="50">
        <v>16</v>
      </c>
      <c r="E63" s="7" t="s">
        <v>48</v>
      </c>
      <c r="F63" s="19" t="s">
        <v>39</v>
      </c>
      <c r="G63" s="4" t="s">
        <v>99</v>
      </c>
      <c r="H63" s="42">
        <v>3000</v>
      </c>
      <c r="I63" s="42"/>
      <c r="J63" s="42">
        <f t="shared" si="4"/>
        <v>235660</v>
      </c>
      <c r="L63" s="56"/>
    </row>
    <row r="64" spans="1:12" s="1" customFormat="1" ht="20.25" customHeight="1" x14ac:dyDescent="0.15">
      <c r="A64" s="3">
        <f t="shared" si="0"/>
        <v>61</v>
      </c>
      <c r="B64" s="41">
        <v>5</v>
      </c>
      <c r="C64" s="50">
        <v>7</v>
      </c>
      <c r="D64" s="50">
        <v>16</v>
      </c>
      <c r="E64" s="7" t="s">
        <v>48</v>
      </c>
      <c r="F64" s="19" t="s">
        <v>39</v>
      </c>
      <c r="G64" s="4" t="s">
        <v>100</v>
      </c>
      <c r="H64" s="42">
        <v>2000</v>
      </c>
      <c r="I64" s="42"/>
      <c r="J64" s="42">
        <f t="shared" si="4"/>
        <v>237660</v>
      </c>
      <c r="L64" s="56"/>
    </row>
    <row r="65" spans="1:12" s="1" customFormat="1" ht="20.25" customHeight="1" x14ac:dyDescent="0.15">
      <c r="A65" s="3">
        <f t="shared" si="0"/>
        <v>62</v>
      </c>
      <c r="B65" s="41">
        <v>5</v>
      </c>
      <c r="C65" s="50">
        <v>7</v>
      </c>
      <c r="D65" s="50">
        <v>16</v>
      </c>
      <c r="E65" s="7" t="s">
        <v>48</v>
      </c>
      <c r="F65" s="19" t="s">
        <v>39</v>
      </c>
      <c r="G65" s="4" t="s">
        <v>101</v>
      </c>
      <c r="H65" s="42">
        <v>3000</v>
      </c>
      <c r="I65" s="42"/>
      <c r="J65" s="42">
        <f t="shared" si="4"/>
        <v>240660</v>
      </c>
      <c r="L65" s="56"/>
    </row>
    <row r="66" spans="1:12" s="1" customFormat="1" ht="20.25" customHeight="1" x14ac:dyDescent="0.15">
      <c r="A66" s="3">
        <f t="shared" si="0"/>
        <v>63</v>
      </c>
      <c r="B66" s="41">
        <v>5</v>
      </c>
      <c r="C66" s="50">
        <v>7</v>
      </c>
      <c r="D66" s="50">
        <v>16</v>
      </c>
      <c r="E66" s="7" t="s">
        <v>48</v>
      </c>
      <c r="F66" s="19" t="s">
        <v>39</v>
      </c>
      <c r="G66" s="4" t="s">
        <v>124</v>
      </c>
      <c r="H66" s="42">
        <v>3000</v>
      </c>
      <c r="I66" s="42"/>
      <c r="J66" s="42">
        <f t="shared" si="4"/>
        <v>243660</v>
      </c>
      <c r="L66" s="56"/>
    </row>
    <row r="67" spans="1:12" s="1" customFormat="1" ht="20.25" customHeight="1" x14ac:dyDescent="0.15">
      <c r="A67" s="3">
        <f t="shared" si="0"/>
        <v>64</v>
      </c>
      <c r="B67" s="41">
        <v>5</v>
      </c>
      <c r="C67" s="50">
        <v>7</v>
      </c>
      <c r="D67" s="50">
        <v>16</v>
      </c>
      <c r="E67" s="7" t="s">
        <v>48</v>
      </c>
      <c r="F67" s="19" t="s">
        <v>39</v>
      </c>
      <c r="G67" s="4" t="s">
        <v>102</v>
      </c>
      <c r="H67" s="42">
        <v>5000</v>
      </c>
      <c r="I67" s="42"/>
      <c r="J67" s="42">
        <f t="shared" si="4"/>
        <v>248660</v>
      </c>
      <c r="L67" s="56"/>
    </row>
    <row r="68" spans="1:12" s="1" customFormat="1" ht="20.25" customHeight="1" x14ac:dyDescent="0.15">
      <c r="A68" s="3">
        <f t="shared" si="0"/>
        <v>65</v>
      </c>
      <c r="B68" s="41">
        <v>5</v>
      </c>
      <c r="C68" s="50">
        <v>7</v>
      </c>
      <c r="D68" s="50">
        <v>16</v>
      </c>
      <c r="E68" s="7" t="s">
        <v>48</v>
      </c>
      <c r="F68" s="19" t="s">
        <v>39</v>
      </c>
      <c r="G68" s="4" t="s">
        <v>103</v>
      </c>
      <c r="H68" s="42">
        <v>5000</v>
      </c>
      <c r="I68" s="42"/>
      <c r="J68" s="42">
        <f t="shared" si="4"/>
        <v>253660</v>
      </c>
      <c r="L68" s="56"/>
    </row>
    <row r="69" spans="1:12" s="1" customFormat="1" ht="20.25" customHeight="1" x14ac:dyDescent="0.15">
      <c r="A69" s="3">
        <f t="shared" si="0"/>
        <v>66</v>
      </c>
      <c r="B69" s="41">
        <v>5</v>
      </c>
      <c r="C69" s="50">
        <v>7</v>
      </c>
      <c r="D69" s="50">
        <v>16</v>
      </c>
      <c r="E69" s="7" t="s">
        <v>48</v>
      </c>
      <c r="F69" s="19" t="s">
        <v>39</v>
      </c>
      <c r="G69" s="4" t="s">
        <v>104</v>
      </c>
      <c r="H69" s="42">
        <v>10000</v>
      </c>
      <c r="I69" s="42"/>
      <c r="J69" s="42">
        <f t="shared" si="4"/>
        <v>263660</v>
      </c>
      <c r="L69" s="56"/>
    </row>
    <row r="70" spans="1:12" s="1" customFormat="1" ht="20.25" customHeight="1" x14ac:dyDescent="0.15">
      <c r="A70" s="3">
        <f t="shared" si="0"/>
        <v>67</v>
      </c>
      <c r="B70" s="41">
        <v>5</v>
      </c>
      <c r="C70" s="50">
        <v>7</v>
      </c>
      <c r="D70" s="50">
        <v>16</v>
      </c>
      <c r="E70" s="7" t="s">
        <v>48</v>
      </c>
      <c r="F70" s="19" t="s">
        <v>39</v>
      </c>
      <c r="G70" s="4" t="s">
        <v>105</v>
      </c>
      <c r="H70" s="42">
        <v>5000</v>
      </c>
      <c r="I70" s="42"/>
      <c r="J70" s="42">
        <f t="shared" si="4"/>
        <v>268660</v>
      </c>
      <c r="L70" s="56"/>
    </row>
    <row r="71" spans="1:12" s="1" customFormat="1" ht="20.25" customHeight="1" x14ac:dyDescent="0.15">
      <c r="A71" s="3">
        <f t="shared" si="0"/>
        <v>68</v>
      </c>
      <c r="B71" s="41">
        <v>5</v>
      </c>
      <c r="C71" s="50">
        <v>7</v>
      </c>
      <c r="D71" s="50">
        <v>16</v>
      </c>
      <c r="E71" s="7" t="s">
        <v>48</v>
      </c>
      <c r="F71" s="19" t="s">
        <v>39</v>
      </c>
      <c r="G71" s="4" t="s">
        <v>106</v>
      </c>
      <c r="H71" s="42">
        <v>5000</v>
      </c>
      <c r="I71" s="42"/>
      <c r="J71" s="42">
        <f t="shared" si="4"/>
        <v>273660</v>
      </c>
      <c r="L71" s="56"/>
    </row>
    <row r="72" spans="1:12" s="1" customFormat="1" ht="20.25" customHeight="1" x14ac:dyDescent="0.15">
      <c r="A72" s="3">
        <f t="shared" si="0"/>
        <v>69</v>
      </c>
      <c r="B72" s="41">
        <v>5</v>
      </c>
      <c r="C72" s="50">
        <v>7</v>
      </c>
      <c r="D72" s="50">
        <v>16</v>
      </c>
      <c r="E72" s="7" t="s">
        <v>48</v>
      </c>
      <c r="F72" s="19" t="s">
        <v>39</v>
      </c>
      <c r="G72" s="4" t="s">
        <v>107</v>
      </c>
      <c r="H72" s="42">
        <v>5000</v>
      </c>
      <c r="I72" s="42"/>
      <c r="J72" s="42">
        <f t="shared" si="4"/>
        <v>278660</v>
      </c>
      <c r="L72" s="56"/>
    </row>
    <row r="73" spans="1:12" s="1" customFormat="1" ht="20.25" customHeight="1" x14ac:dyDescent="0.15">
      <c r="A73" s="3">
        <f t="shared" si="0"/>
        <v>70</v>
      </c>
      <c r="B73" s="41">
        <v>5</v>
      </c>
      <c r="C73" s="50">
        <v>7</v>
      </c>
      <c r="D73" s="50">
        <v>16</v>
      </c>
      <c r="E73" s="7" t="s">
        <v>48</v>
      </c>
      <c r="F73" s="19" t="s">
        <v>39</v>
      </c>
      <c r="G73" s="4" t="s">
        <v>108</v>
      </c>
      <c r="H73" s="42">
        <v>5000</v>
      </c>
      <c r="I73" s="42"/>
      <c r="J73" s="42">
        <f t="shared" si="4"/>
        <v>283660</v>
      </c>
      <c r="L73" s="56"/>
    </row>
    <row r="74" spans="1:12" s="1" customFormat="1" ht="20.25" customHeight="1" x14ac:dyDescent="0.15">
      <c r="A74" s="3">
        <f t="shared" si="0"/>
        <v>71</v>
      </c>
      <c r="B74" s="41">
        <v>5</v>
      </c>
      <c r="C74" s="50">
        <v>7</v>
      </c>
      <c r="D74" s="50">
        <v>16</v>
      </c>
      <c r="E74" s="7" t="s">
        <v>48</v>
      </c>
      <c r="F74" s="19" t="s">
        <v>39</v>
      </c>
      <c r="G74" s="4" t="s">
        <v>109</v>
      </c>
      <c r="H74" s="42">
        <v>5000</v>
      </c>
      <c r="I74" s="42"/>
      <c r="J74" s="42">
        <f t="shared" si="4"/>
        <v>288660</v>
      </c>
      <c r="L74" s="56"/>
    </row>
    <row r="75" spans="1:12" s="1" customFormat="1" ht="20.25" customHeight="1" x14ac:dyDescent="0.15">
      <c r="A75" s="3">
        <f t="shared" si="0"/>
        <v>72</v>
      </c>
      <c r="B75" s="41">
        <v>5</v>
      </c>
      <c r="C75" s="50">
        <v>7</v>
      </c>
      <c r="D75" s="50">
        <v>16</v>
      </c>
      <c r="E75" s="7" t="s">
        <v>48</v>
      </c>
      <c r="F75" s="19" t="s">
        <v>39</v>
      </c>
      <c r="G75" s="4" t="s">
        <v>110</v>
      </c>
      <c r="H75" s="42">
        <v>5000</v>
      </c>
      <c r="I75" s="42"/>
      <c r="J75" s="42">
        <f t="shared" si="4"/>
        <v>293660</v>
      </c>
      <c r="L75" s="56"/>
    </row>
    <row r="76" spans="1:12" s="1" customFormat="1" ht="20.25" customHeight="1" x14ac:dyDescent="0.15">
      <c r="A76" s="3">
        <f t="shared" si="0"/>
        <v>73</v>
      </c>
      <c r="B76" s="41">
        <v>5</v>
      </c>
      <c r="C76" s="50">
        <v>7</v>
      </c>
      <c r="D76" s="50">
        <v>16</v>
      </c>
      <c r="E76" s="7" t="s">
        <v>48</v>
      </c>
      <c r="F76" s="19" t="s">
        <v>39</v>
      </c>
      <c r="G76" s="4" t="s">
        <v>111</v>
      </c>
      <c r="H76" s="42">
        <v>5000</v>
      </c>
      <c r="I76" s="42"/>
      <c r="J76" s="42">
        <f t="shared" si="4"/>
        <v>298660</v>
      </c>
      <c r="L76" s="56"/>
    </row>
    <row r="77" spans="1:12" s="1" customFormat="1" ht="20.25" customHeight="1" x14ac:dyDescent="0.15">
      <c r="A77" s="3">
        <f t="shared" si="0"/>
        <v>74</v>
      </c>
      <c r="B77" s="41">
        <v>5</v>
      </c>
      <c r="C77" s="50">
        <v>7</v>
      </c>
      <c r="D77" s="50">
        <v>16</v>
      </c>
      <c r="E77" s="7" t="s">
        <v>48</v>
      </c>
      <c r="F77" s="19" t="s">
        <v>39</v>
      </c>
      <c r="G77" s="4" t="s">
        <v>112</v>
      </c>
      <c r="H77" s="42">
        <v>5000</v>
      </c>
      <c r="I77" s="42"/>
      <c r="J77" s="42">
        <f t="shared" si="4"/>
        <v>303660</v>
      </c>
      <c r="L77" s="56"/>
    </row>
    <row r="78" spans="1:12" s="1" customFormat="1" ht="20.25" customHeight="1" x14ac:dyDescent="0.15">
      <c r="A78" s="3">
        <f t="shared" si="0"/>
        <v>75</v>
      </c>
      <c r="B78" s="41">
        <v>5</v>
      </c>
      <c r="C78" s="50">
        <v>7</v>
      </c>
      <c r="D78" s="50">
        <v>16</v>
      </c>
      <c r="E78" s="7" t="s">
        <v>48</v>
      </c>
      <c r="F78" s="19" t="s">
        <v>39</v>
      </c>
      <c r="G78" s="4" t="s">
        <v>113</v>
      </c>
      <c r="H78" s="42">
        <v>5000</v>
      </c>
      <c r="I78" s="42"/>
      <c r="J78" s="42">
        <f t="shared" si="4"/>
        <v>308660</v>
      </c>
      <c r="L78" s="56"/>
    </row>
    <row r="79" spans="1:12" s="1" customFormat="1" ht="20.25" customHeight="1" x14ac:dyDescent="0.15">
      <c r="A79" s="3">
        <f t="shared" si="0"/>
        <v>76</v>
      </c>
      <c r="B79" s="41">
        <v>5</v>
      </c>
      <c r="C79" s="50">
        <v>7</v>
      </c>
      <c r="D79" s="50">
        <v>16</v>
      </c>
      <c r="E79" s="7" t="s">
        <v>48</v>
      </c>
      <c r="F79" s="19" t="s">
        <v>39</v>
      </c>
      <c r="G79" s="4" t="s">
        <v>114</v>
      </c>
      <c r="H79" s="42">
        <v>5000</v>
      </c>
      <c r="I79" s="42"/>
      <c r="J79" s="42">
        <f t="shared" si="4"/>
        <v>313660</v>
      </c>
      <c r="L79" s="56"/>
    </row>
    <row r="80" spans="1:12" s="1" customFormat="1" ht="20.25" customHeight="1" x14ac:dyDescent="0.15">
      <c r="A80" s="3">
        <f t="shared" si="0"/>
        <v>77</v>
      </c>
      <c r="B80" s="41">
        <v>5</v>
      </c>
      <c r="C80" s="50">
        <v>7</v>
      </c>
      <c r="D80" s="50">
        <v>16</v>
      </c>
      <c r="E80" s="7" t="s">
        <v>48</v>
      </c>
      <c r="F80" s="19" t="s">
        <v>39</v>
      </c>
      <c r="G80" s="4" t="s">
        <v>115</v>
      </c>
      <c r="H80" s="42">
        <v>3000</v>
      </c>
      <c r="I80" s="42"/>
      <c r="J80" s="42">
        <f t="shared" si="4"/>
        <v>316660</v>
      </c>
      <c r="L80" s="56"/>
    </row>
    <row r="81" spans="1:19" s="1" customFormat="1" ht="20.25" customHeight="1" x14ac:dyDescent="0.15">
      <c r="A81" s="3">
        <f t="shared" si="0"/>
        <v>78</v>
      </c>
      <c r="B81" s="41">
        <v>5</v>
      </c>
      <c r="C81" s="50">
        <v>7</v>
      </c>
      <c r="D81" s="50">
        <v>16</v>
      </c>
      <c r="E81" s="7" t="s">
        <v>48</v>
      </c>
      <c r="F81" s="19" t="s">
        <v>39</v>
      </c>
      <c r="G81" s="4" t="s">
        <v>116</v>
      </c>
      <c r="H81" s="42">
        <v>5000</v>
      </c>
      <c r="I81" s="42"/>
      <c r="J81" s="42">
        <f t="shared" si="4"/>
        <v>321660</v>
      </c>
      <c r="L81" s="56"/>
    </row>
    <row r="82" spans="1:19" s="1" customFormat="1" ht="20.25" customHeight="1" x14ac:dyDescent="0.15">
      <c r="A82" s="3">
        <f t="shared" si="0"/>
        <v>79</v>
      </c>
      <c r="B82" s="41">
        <v>5</v>
      </c>
      <c r="C82" s="50">
        <v>7</v>
      </c>
      <c r="D82" s="50">
        <v>16</v>
      </c>
      <c r="E82" s="7" t="s">
        <v>48</v>
      </c>
      <c r="F82" s="19" t="s">
        <v>39</v>
      </c>
      <c r="G82" s="4" t="s">
        <v>117</v>
      </c>
      <c r="H82" s="42">
        <v>10000</v>
      </c>
      <c r="I82" s="42"/>
      <c r="J82" s="42">
        <f t="shared" ref="J82:J114" si="7">J81+H82-I82</f>
        <v>331660</v>
      </c>
      <c r="L82" s="56"/>
    </row>
    <row r="83" spans="1:19" s="1" customFormat="1" ht="20.25" customHeight="1" x14ac:dyDescent="0.15">
      <c r="A83" s="3">
        <f t="shared" si="0"/>
        <v>80</v>
      </c>
      <c r="B83" s="41">
        <v>5</v>
      </c>
      <c r="C83" s="50">
        <v>7</v>
      </c>
      <c r="D83" s="50">
        <v>16</v>
      </c>
      <c r="E83" s="7" t="s">
        <v>48</v>
      </c>
      <c r="F83" s="19" t="s">
        <v>39</v>
      </c>
      <c r="G83" s="7" t="s">
        <v>66</v>
      </c>
      <c r="H83" s="42">
        <v>5000</v>
      </c>
      <c r="I83" s="42"/>
      <c r="J83" s="42">
        <f t="shared" si="7"/>
        <v>336660</v>
      </c>
      <c r="L83" s="56"/>
    </row>
    <row r="84" spans="1:19" s="1" customFormat="1" ht="20.25" customHeight="1" x14ac:dyDescent="0.15">
      <c r="A84" s="3">
        <f t="shared" si="0"/>
        <v>81</v>
      </c>
      <c r="B84" s="41">
        <v>5</v>
      </c>
      <c r="C84" s="50">
        <v>7</v>
      </c>
      <c r="D84" s="50">
        <v>16</v>
      </c>
      <c r="E84" s="7" t="s">
        <v>48</v>
      </c>
      <c r="F84" s="19" t="s">
        <v>39</v>
      </c>
      <c r="G84" s="4" t="s">
        <v>118</v>
      </c>
      <c r="H84" s="42">
        <v>5000</v>
      </c>
      <c r="I84" s="42"/>
      <c r="J84" s="42">
        <f t="shared" si="7"/>
        <v>341660</v>
      </c>
      <c r="L84" s="56"/>
    </row>
    <row r="85" spans="1:19" s="1" customFormat="1" ht="20.25" customHeight="1" x14ac:dyDescent="0.15">
      <c r="A85" s="3">
        <f t="shared" si="0"/>
        <v>82</v>
      </c>
      <c r="B85" s="41">
        <v>5</v>
      </c>
      <c r="C85" s="50">
        <v>7</v>
      </c>
      <c r="D85" s="50">
        <v>16</v>
      </c>
      <c r="E85" s="7" t="s">
        <v>48</v>
      </c>
      <c r="F85" s="19" t="s">
        <v>39</v>
      </c>
      <c r="G85" s="4" t="s">
        <v>119</v>
      </c>
      <c r="H85" s="42">
        <v>5000</v>
      </c>
      <c r="I85" s="42"/>
      <c r="J85" s="42">
        <f t="shared" si="7"/>
        <v>346660</v>
      </c>
      <c r="L85" s="56"/>
    </row>
    <row r="86" spans="1:19" s="1" customFormat="1" ht="20.25" customHeight="1" x14ac:dyDescent="0.15">
      <c r="A86" s="3">
        <f t="shared" si="0"/>
        <v>83</v>
      </c>
      <c r="B86" s="41">
        <v>5</v>
      </c>
      <c r="C86" s="50">
        <v>7</v>
      </c>
      <c r="D86" s="50">
        <v>16</v>
      </c>
      <c r="E86" s="7" t="s">
        <v>48</v>
      </c>
      <c r="F86" s="19" t="s">
        <v>39</v>
      </c>
      <c r="G86" s="4" t="s">
        <v>120</v>
      </c>
      <c r="H86" s="42">
        <v>10000</v>
      </c>
      <c r="I86" s="42"/>
      <c r="J86" s="42">
        <f t="shared" si="7"/>
        <v>356660</v>
      </c>
      <c r="L86" s="56"/>
    </row>
    <row r="87" spans="1:19" s="1" customFormat="1" ht="20.25" customHeight="1" x14ac:dyDescent="0.15">
      <c r="A87" s="3">
        <f t="shared" si="0"/>
        <v>84</v>
      </c>
      <c r="B87" s="41">
        <v>5</v>
      </c>
      <c r="C87" s="50">
        <v>7</v>
      </c>
      <c r="D87" s="50">
        <v>16</v>
      </c>
      <c r="E87" s="7" t="s">
        <v>122</v>
      </c>
      <c r="F87" s="19" t="s">
        <v>39</v>
      </c>
      <c r="G87" s="4" t="s">
        <v>123</v>
      </c>
      <c r="H87" s="72">
        <v>2000</v>
      </c>
      <c r="I87" s="72">
        <v>2000</v>
      </c>
      <c r="J87" s="42">
        <f t="shared" si="7"/>
        <v>356660</v>
      </c>
      <c r="L87" s="56"/>
    </row>
    <row r="88" spans="1:19" s="1" customFormat="1" ht="20.25" customHeight="1" x14ac:dyDescent="0.15">
      <c r="A88" s="3">
        <f t="shared" si="0"/>
        <v>85</v>
      </c>
      <c r="B88" s="41">
        <v>5</v>
      </c>
      <c r="C88" s="50">
        <v>7</v>
      </c>
      <c r="D88" s="50">
        <v>16</v>
      </c>
      <c r="E88" s="7" t="s">
        <v>48</v>
      </c>
      <c r="F88" s="19" t="s">
        <v>39</v>
      </c>
      <c r="G88" s="4" t="s">
        <v>130</v>
      </c>
      <c r="H88" s="42">
        <v>5000</v>
      </c>
      <c r="I88" s="42"/>
      <c r="J88" s="42">
        <f t="shared" si="7"/>
        <v>361660</v>
      </c>
      <c r="L88" s="56"/>
    </row>
    <row r="89" spans="1:19" s="1" customFormat="1" ht="20.25" customHeight="1" x14ac:dyDescent="0.15">
      <c r="A89" s="3">
        <f t="shared" si="0"/>
        <v>86</v>
      </c>
      <c r="B89" s="41">
        <v>5</v>
      </c>
      <c r="C89" s="50">
        <v>7</v>
      </c>
      <c r="D89" s="50">
        <v>15</v>
      </c>
      <c r="E89" s="7" t="s">
        <v>121</v>
      </c>
      <c r="F89" s="19" t="s">
        <v>256</v>
      </c>
      <c r="G89" s="4"/>
      <c r="H89" s="72">
        <v>10000</v>
      </c>
      <c r="I89" s="42"/>
      <c r="J89" s="42">
        <f t="shared" si="7"/>
        <v>371660</v>
      </c>
      <c r="L89" s="56" t="s">
        <v>56</v>
      </c>
      <c r="M89" s="71">
        <v>165570</v>
      </c>
      <c r="N89" s="56" t="s">
        <v>57</v>
      </c>
      <c r="O89" s="71">
        <v>113000</v>
      </c>
      <c r="P89" s="1" t="s">
        <v>58</v>
      </c>
      <c r="Q89" s="1">
        <f>10000</f>
        <v>10000</v>
      </c>
      <c r="R89" s="1" t="s">
        <v>59</v>
      </c>
      <c r="S89" s="1">
        <v>15000</v>
      </c>
    </row>
    <row r="90" spans="1:19" s="1" customFormat="1" ht="20.25" customHeight="1" x14ac:dyDescent="0.15">
      <c r="A90" s="3">
        <f t="shared" si="0"/>
        <v>87</v>
      </c>
      <c r="B90" s="41">
        <v>5</v>
      </c>
      <c r="C90" s="50">
        <v>7</v>
      </c>
      <c r="D90" s="50">
        <v>15</v>
      </c>
      <c r="E90" s="7" t="s">
        <v>238</v>
      </c>
      <c r="F90" s="19">
        <v>5</v>
      </c>
      <c r="G90" s="4" t="s">
        <v>78</v>
      </c>
      <c r="H90" s="42"/>
      <c r="I90" s="42">
        <v>5000</v>
      </c>
      <c r="J90" s="42">
        <f t="shared" si="7"/>
        <v>366660</v>
      </c>
      <c r="L90" s="56" t="s">
        <v>60</v>
      </c>
      <c r="M90" s="71">
        <f>M89+O89+Q89+S89</f>
        <v>303570</v>
      </c>
    </row>
    <row r="91" spans="1:19" s="1" customFormat="1" ht="20.25" customHeight="1" x14ac:dyDescent="0.15">
      <c r="A91" s="3">
        <f t="shared" si="0"/>
        <v>88</v>
      </c>
      <c r="B91" s="41">
        <v>5</v>
      </c>
      <c r="C91" s="50">
        <v>7</v>
      </c>
      <c r="D91" s="50">
        <v>17</v>
      </c>
      <c r="E91" s="7" t="s">
        <v>138</v>
      </c>
      <c r="F91" s="19">
        <v>11</v>
      </c>
      <c r="G91" s="7" t="s">
        <v>137</v>
      </c>
      <c r="H91" s="42"/>
      <c r="I91" s="42">
        <v>2970</v>
      </c>
      <c r="J91" s="42">
        <f t="shared" si="7"/>
        <v>363690</v>
      </c>
      <c r="L91" s="56"/>
    </row>
    <row r="92" spans="1:19" s="1" customFormat="1" ht="20.25" customHeight="1" x14ac:dyDescent="0.15">
      <c r="A92" s="3">
        <f t="shared" si="0"/>
        <v>89</v>
      </c>
      <c r="B92" s="41">
        <v>5</v>
      </c>
      <c r="C92" s="50">
        <v>7</v>
      </c>
      <c r="D92" s="50">
        <v>17</v>
      </c>
      <c r="E92" s="7" t="s">
        <v>132</v>
      </c>
      <c r="F92" s="19">
        <v>4</v>
      </c>
      <c r="G92" s="7" t="s">
        <v>131</v>
      </c>
      <c r="H92" s="42"/>
      <c r="I92" s="42">
        <v>5500</v>
      </c>
      <c r="J92" s="42">
        <f t="shared" si="7"/>
        <v>358190</v>
      </c>
      <c r="L92" s="56"/>
    </row>
    <row r="93" spans="1:19" s="1" customFormat="1" ht="20.25" customHeight="1" x14ac:dyDescent="0.15">
      <c r="A93" s="3">
        <f t="shared" si="0"/>
        <v>90</v>
      </c>
      <c r="B93" s="41">
        <v>5</v>
      </c>
      <c r="C93" s="50">
        <v>7</v>
      </c>
      <c r="D93" s="50">
        <v>17</v>
      </c>
      <c r="E93" s="7" t="s">
        <v>182</v>
      </c>
      <c r="F93" s="19">
        <v>11</v>
      </c>
      <c r="G93" s="7" t="s">
        <v>183</v>
      </c>
      <c r="H93" s="42"/>
      <c r="I93" s="42">
        <v>10000</v>
      </c>
      <c r="J93" s="42">
        <f t="shared" ref="J93" si="8">J92+H93-I93</f>
        <v>348190</v>
      </c>
      <c r="L93" s="56"/>
    </row>
    <row r="94" spans="1:19" s="1" customFormat="1" ht="20.25" customHeight="1" x14ac:dyDescent="0.15">
      <c r="A94" s="3">
        <f t="shared" si="0"/>
        <v>91</v>
      </c>
      <c r="B94" s="41">
        <v>5</v>
      </c>
      <c r="C94" s="50">
        <v>7</v>
      </c>
      <c r="D94" s="50">
        <v>17</v>
      </c>
      <c r="E94" s="7" t="s">
        <v>182</v>
      </c>
      <c r="F94" s="19">
        <v>11</v>
      </c>
      <c r="G94" s="7" t="s">
        <v>184</v>
      </c>
      <c r="H94" s="42"/>
      <c r="I94" s="42">
        <v>5000</v>
      </c>
      <c r="J94" s="42">
        <f t="shared" ref="J94" si="9">J93+H94-I94</f>
        <v>343190</v>
      </c>
      <c r="L94" s="56"/>
    </row>
    <row r="95" spans="1:19" s="1" customFormat="1" ht="20.25" customHeight="1" x14ac:dyDescent="0.15">
      <c r="A95" s="3">
        <f t="shared" si="0"/>
        <v>92</v>
      </c>
      <c r="B95" s="41">
        <v>5</v>
      </c>
      <c r="C95" s="50">
        <v>7</v>
      </c>
      <c r="D95" s="50">
        <v>17</v>
      </c>
      <c r="E95" s="7" t="s">
        <v>182</v>
      </c>
      <c r="F95" s="19">
        <v>11</v>
      </c>
      <c r="G95" s="7" t="s">
        <v>185</v>
      </c>
      <c r="H95" s="42"/>
      <c r="I95" s="42">
        <v>5000</v>
      </c>
      <c r="J95" s="42">
        <f t="shared" ref="J95" si="10">J94+H95-I95</f>
        <v>338190</v>
      </c>
      <c r="L95" s="56"/>
    </row>
    <row r="96" spans="1:19" s="1" customFormat="1" ht="20.25" customHeight="1" x14ac:dyDescent="0.15">
      <c r="A96" s="3">
        <f t="shared" si="0"/>
        <v>93</v>
      </c>
      <c r="B96" s="41">
        <v>5</v>
      </c>
      <c r="C96" s="50">
        <v>7</v>
      </c>
      <c r="D96" s="50">
        <v>17</v>
      </c>
      <c r="E96" s="7" t="s">
        <v>139</v>
      </c>
      <c r="F96" s="19">
        <v>7</v>
      </c>
      <c r="G96" s="7" t="s">
        <v>135</v>
      </c>
      <c r="H96" s="42"/>
      <c r="I96" s="42">
        <v>10000</v>
      </c>
      <c r="J96" s="42">
        <f>J92+H96-I96</f>
        <v>348190</v>
      </c>
      <c r="L96" s="56"/>
    </row>
    <row r="97" spans="1:15" s="1" customFormat="1" ht="20.25" customHeight="1" x14ac:dyDescent="0.15">
      <c r="A97" s="3">
        <f t="shared" si="0"/>
        <v>94</v>
      </c>
      <c r="B97" s="41">
        <v>5</v>
      </c>
      <c r="C97" s="50">
        <v>7</v>
      </c>
      <c r="D97" s="50">
        <v>17</v>
      </c>
      <c r="E97" s="7" t="s">
        <v>139</v>
      </c>
      <c r="F97" s="19">
        <v>7</v>
      </c>
      <c r="G97" s="4" t="s">
        <v>136</v>
      </c>
      <c r="H97" s="42"/>
      <c r="I97" s="42">
        <v>10000</v>
      </c>
      <c r="J97" s="42">
        <f t="shared" si="7"/>
        <v>338190</v>
      </c>
      <c r="L97" s="56"/>
    </row>
    <row r="98" spans="1:15" s="1" customFormat="1" ht="20.25" customHeight="1" x14ac:dyDescent="0.15">
      <c r="A98" s="3">
        <f t="shared" si="0"/>
        <v>95</v>
      </c>
      <c r="B98" s="41">
        <v>5</v>
      </c>
      <c r="C98" s="50">
        <v>7</v>
      </c>
      <c r="D98" s="77">
        <v>17</v>
      </c>
      <c r="E98" s="7" t="s">
        <v>140</v>
      </c>
      <c r="F98" s="19">
        <v>7</v>
      </c>
      <c r="G98" s="4" t="s">
        <v>141</v>
      </c>
      <c r="H98" s="68">
        <v>8778</v>
      </c>
      <c r="I98" s="42">
        <v>8778</v>
      </c>
      <c r="J98" s="42">
        <f t="shared" si="7"/>
        <v>338190</v>
      </c>
      <c r="L98" s="56" t="s">
        <v>405</v>
      </c>
      <c r="M98" s="56">
        <f>I99+I100+I104+I105+I106+I107+I109</f>
        <v>109489</v>
      </c>
      <c r="N98" s="1" t="s">
        <v>585</v>
      </c>
      <c r="O98" s="56">
        <f>SUM(I98:I113)</f>
        <v>180520</v>
      </c>
    </row>
    <row r="99" spans="1:15" s="1" customFormat="1" ht="20.25" customHeight="1" x14ac:dyDescent="0.15">
      <c r="A99" s="3">
        <f t="shared" si="0"/>
        <v>96</v>
      </c>
      <c r="B99" s="41">
        <v>5</v>
      </c>
      <c r="C99" s="50">
        <v>7</v>
      </c>
      <c r="D99" s="77">
        <v>17</v>
      </c>
      <c r="E99" s="7" t="s">
        <v>142</v>
      </c>
      <c r="F99" s="19">
        <v>1</v>
      </c>
      <c r="G99" s="4" t="s">
        <v>163</v>
      </c>
      <c r="H99" s="68">
        <v>3628</v>
      </c>
      <c r="I99" s="42">
        <v>3628</v>
      </c>
      <c r="J99" s="42">
        <f t="shared" si="7"/>
        <v>338190</v>
      </c>
      <c r="L99" s="56"/>
    </row>
    <row r="100" spans="1:15" s="1" customFormat="1" ht="20.25" customHeight="1" x14ac:dyDescent="0.15">
      <c r="A100" s="3">
        <f t="shared" si="0"/>
        <v>97</v>
      </c>
      <c r="B100" s="41">
        <v>5</v>
      </c>
      <c r="C100" s="50">
        <v>7</v>
      </c>
      <c r="D100" s="77">
        <v>17</v>
      </c>
      <c r="E100" s="7" t="s">
        <v>143</v>
      </c>
      <c r="F100" s="19">
        <v>1</v>
      </c>
      <c r="G100" s="4" t="s">
        <v>144</v>
      </c>
      <c r="H100" s="68">
        <v>3684</v>
      </c>
      <c r="I100" s="42">
        <v>3684</v>
      </c>
      <c r="J100" s="42">
        <f t="shared" si="7"/>
        <v>338190</v>
      </c>
      <c r="L100" s="56"/>
    </row>
    <row r="101" spans="1:15" s="1" customFormat="1" ht="20.25" customHeight="1" x14ac:dyDescent="0.15">
      <c r="A101" s="3">
        <f t="shared" si="0"/>
        <v>98</v>
      </c>
      <c r="B101" s="41">
        <v>5</v>
      </c>
      <c r="C101" s="50">
        <v>7</v>
      </c>
      <c r="D101" s="77">
        <v>17</v>
      </c>
      <c r="E101" s="7" t="s">
        <v>145</v>
      </c>
      <c r="F101" s="19">
        <v>1</v>
      </c>
      <c r="G101" s="4" t="s">
        <v>146</v>
      </c>
      <c r="H101" s="68">
        <v>1188</v>
      </c>
      <c r="I101" s="42">
        <v>1188</v>
      </c>
      <c r="J101" s="42">
        <f t="shared" si="7"/>
        <v>338190</v>
      </c>
      <c r="L101" s="56"/>
    </row>
    <row r="102" spans="1:15" s="1" customFormat="1" ht="20.25" customHeight="1" x14ac:dyDescent="0.15">
      <c r="A102" s="3">
        <f t="shared" si="0"/>
        <v>99</v>
      </c>
      <c r="B102" s="41">
        <v>5</v>
      </c>
      <c r="C102" s="50">
        <v>7</v>
      </c>
      <c r="D102" s="77">
        <v>17</v>
      </c>
      <c r="E102" s="7" t="s">
        <v>148</v>
      </c>
      <c r="F102" s="19">
        <v>1</v>
      </c>
      <c r="G102" s="4" t="s">
        <v>147</v>
      </c>
      <c r="H102" s="68">
        <v>3800</v>
      </c>
      <c r="I102" s="42">
        <v>3800</v>
      </c>
      <c r="J102" s="42">
        <f t="shared" si="7"/>
        <v>338190</v>
      </c>
      <c r="L102" s="56"/>
    </row>
    <row r="103" spans="1:15" s="1" customFormat="1" ht="20.25" customHeight="1" x14ac:dyDescent="0.15">
      <c r="A103" s="3">
        <f t="shared" si="0"/>
        <v>100</v>
      </c>
      <c r="B103" s="41">
        <v>5</v>
      </c>
      <c r="C103" s="50">
        <v>7</v>
      </c>
      <c r="D103" s="77">
        <v>17</v>
      </c>
      <c r="E103" s="7" t="s">
        <v>149</v>
      </c>
      <c r="F103" s="19">
        <v>7</v>
      </c>
      <c r="G103" s="4" t="s">
        <v>150</v>
      </c>
      <c r="H103" s="68">
        <v>5826</v>
      </c>
      <c r="I103" s="42">
        <v>5826</v>
      </c>
      <c r="J103" s="42">
        <f t="shared" si="7"/>
        <v>338190</v>
      </c>
      <c r="L103" s="56"/>
    </row>
    <row r="104" spans="1:15" s="1" customFormat="1" ht="20.25" customHeight="1" x14ac:dyDescent="0.15">
      <c r="A104" s="3">
        <f t="shared" si="0"/>
        <v>101</v>
      </c>
      <c r="B104" s="41">
        <v>5</v>
      </c>
      <c r="C104" s="50">
        <v>7</v>
      </c>
      <c r="D104" s="77">
        <v>17</v>
      </c>
      <c r="E104" s="7" t="s">
        <v>151</v>
      </c>
      <c r="F104" s="19">
        <v>6</v>
      </c>
      <c r="G104" s="4" t="s">
        <v>32</v>
      </c>
      <c r="H104" s="68">
        <v>11440</v>
      </c>
      <c r="I104" s="42">
        <v>11440</v>
      </c>
      <c r="J104" s="42">
        <f t="shared" si="7"/>
        <v>338190</v>
      </c>
      <c r="L104" s="56"/>
    </row>
    <row r="105" spans="1:15" s="1" customFormat="1" ht="20.25" customHeight="1" x14ac:dyDescent="0.15">
      <c r="A105" s="3">
        <f t="shared" si="0"/>
        <v>102</v>
      </c>
      <c r="B105" s="41">
        <v>5</v>
      </c>
      <c r="C105" s="50">
        <v>7</v>
      </c>
      <c r="D105" s="77">
        <v>17</v>
      </c>
      <c r="E105" s="7" t="s">
        <v>153</v>
      </c>
      <c r="F105" s="19">
        <v>1</v>
      </c>
      <c r="G105" s="4" t="s">
        <v>32</v>
      </c>
      <c r="H105" s="68">
        <v>8180</v>
      </c>
      <c r="I105" s="42">
        <v>8180</v>
      </c>
      <c r="J105" s="42">
        <f t="shared" si="7"/>
        <v>338190</v>
      </c>
      <c r="L105" s="56"/>
    </row>
    <row r="106" spans="1:15" s="1" customFormat="1" ht="20.25" customHeight="1" x14ac:dyDescent="0.15">
      <c r="A106" s="3">
        <f t="shared" si="0"/>
        <v>103</v>
      </c>
      <c r="B106" s="41">
        <v>5</v>
      </c>
      <c r="C106" s="50">
        <v>7</v>
      </c>
      <c r="D106" s="77">
        <v>17</v>
      </c>
      <c r="E106" s="7" t="s">
        <v>154</v>
      </c>
      <c r="F106" s="19">
        <v>1</v>
      </c>
      <c r="G106" s="4" t="s">
        <v>163</v>
      </c>
      <c r="H106" s="68">
        <v>11301</v>
      </c>
      <c r="I106" s="42">
        <v>11301</v>
      </c>
      <c r="J106" s="42">
        <f t="shared" si="7"/>
        <v>338190</v>
      </c>
      <c r="L106" s="56"/>
    </row>
    <row r="107" spans="1:15" s="1" customFormat="1" ht="20.25" customHeight="1" x14ac:dyDescent="0.15">
      <c r="A107" s="3">
        <f t="shared" si="0"/>
        <v>104</v>
      </c>
      <c r="B107" s="41">
        <v>5</v>
      </c>
      <c r="C107" s="50">
        <v>7</v>
      </c>
      <c r="D107" s="77">
        <v>17</v>
      </c>
      <c r="E107" s="7" t="s">
        <v>156</v>
      </c>
      <c r="F107" s="19">
        <v>1</v>
      </c>
      <c r="G107" s="4" t="s">
        <v>155</v>
      </c>
      <c r="H107" s="68">
        <v>35840</v>
      </c>
      <c r="I107" s="42">
        <v>35840</v>
      </c>
      <c r="J107" s="42">
        <f t="shared" si="7"/>
        <v>338190</v>
      </c>
      <c r="L107" s="56"/>
    </row>
    <row r="108" spans="1:15" s="1" customFormat="1" ht="20.25" customHeight="1" x14ac:dyDescent="0.15">
      <c r="A108" s="3">
        <f t="shared" si="0"/>
        <v>105</v>
      </c>
      <c r="B108" s="41">
        <v>5</v>
      </c>
      <c r="C108" s="50">
        <v>7</v>
      </c>
      <c r="D108" s="77">
        <v>17</v>
      </c>
      <c r="E108" s="7" t="s">
        <v>157</v>
      </c>
      <c r="F108" s="19">
        <v>5</v>
      </c>
      <c r="G108" s="4" t="s">
        <v>163</v>
      </c>
      <c r="H108" s="68">
        <v>12302</v>
      </c>
      <c r="I108" s="42">
        <v>12302</v>
      </c>
      <c r="J108" s="42">
        <f t="shared" si="7"/>
        <v>338190</v>
      </c>
      <c r="L108" s="56"/>
    </row>
    <row r="109" spans="1:15" s="1" customFormat="1" ht="20.25" customHeight="1" x14ac:dyDescent="0.15">
      <c r="A109" s="3">
        <f t="shared" si="0"/>
        <v>106</v>
      </c>
      <c r="B109" s="41">
        <v>5</v>
      </c>
      <c r="C109" s="50">
        <v>7</v>
      </c>
      <c r="D109" s="77">
        <v>17</v>
      </c>
      <c r="E109" s="7" t="s">
        <v>158</v>
      </c>
      <c r="F109" s="19">
        <v>1</v>
      </c>
      <c r="G109" s="4" t="s">
        <v>163</v>
      </c>
      <c r="H109" s="68">
        <v>35416</v>
      </c>
      <c r="I109" s="42">
        <v>35416</v>
      </c>
      <c r="J109" s="42">
        <f t="shared" si="7"/>
        <v>338190</v>
      </c>
      <c r="L109" s="56"/>
    </row>
    <row r="110" spans="1:15" s="1" customFormat="1" ht="20.25" customHeight="1" x14ac:dyDescent="0.15">
      <c r="A110" s="3">
        <f t="shared" si="0"/>
        <v>107</v>
      </c>
      <c r="B110" s="41">
        <v>5</v>
      </c>
      <c r="C110" s="50">
        <v>7</v>
      </c>
      <c r="D110" s="77">
        <v>17</v>
      </c>
      <c r="E110" s="7" t="s">
        <v>159</v>
      </c>
      <c r="F110" s="19">
        <v>7</v>
      </c>
      <c r="G110" s="4" t="s">
        <v>146</v>
      </c>
      <c r="H110" s="68">
        <v>22809</v>
      </c>
      <c r="I110" s="42">
        <v>22809</v>
      </c>
      <c r="J110" s="42">
        <f t="shared" si="7"/>
        <v>338190</v>
      </c>
      <c r="L110" s="56"/>
    </row>
    <row r="111" spans="1:15" s="1" customFormat="1" ht="20.25" customHeight="1" x14ac:dyDescent="0.15">
      <c r="A111" s="3">
        <f t="shared" si="0"/>
        <v>108</v>
      </c>
      <c r="B111" s="41">
        <v>5</v>
      </c>
      <c r="C111" s="50">
        <v>7</v>
      </c>
      <c r="D111" s="77">
        <v>17</v>
      </c>
      <c r="E111" s="7" t="s">
        <v>161</v>
      </c>
      <c r="F111" s="19">
        <v>6</v>
      </c>
      <c r="G111" s="4" t="s">
        <v>162</v>
      </c>
      <c r="H111" s="68">
        <v>3028</v>
      </c>
      <c r="I111" s="42">
        <v>3028</v>
      </c>
      <c r="J111" s="42">
        <f t="shared" si="7"/>
        <v>338190</v>
      </c>
      <c r="L111" s="56"/>
    </row>
    <row r="112" spans="1:15" s="1" customFormat="1" ht="20.25" customHeight="1" x14ac:dyDescent="0.15">
      <c r="A112" s="3">
        <f t="shared" si="0"/>
        <v>109</v>
      </c>
      <c r="B112" s="41">
        <v>5</v>
      </c>
      <c r="C112" s="50">
        <v>7</v>
      </c>
      <c r="D112" s="77">
        <v>17</v>
      </c>
      <c r="E112" s="7" t="s">
        <v>166</v>
      </c>
      <c r="F112" s="19">
        <v>6</v>
      </c>
      <c r="G112" s="4" t="s">
        <v>165</v>
      </c>
      <c r="H112" s="68">
        <v>7800</v>
      </c>
      <c r="I112" s="42">
        <v>7800</v>
      </c>
      <c r="J112" s="42">
        <f t="shared" si="7"/>
        <v>338190</v>
      </c>
      <c r="L112" s="56"/>
    </row>
    <row r="113" spans="1:13" s="1" customFormat="1" ht="20.25" customHeight="1" x14ac:dyDescent="0.15">
      <c r="A113" s="3">
        <f t="shared" si="0"/>
        <v>110</v>
      </c>
      <c r="B113" s="41">
        <v>5</v>
      </c>
      <c r="C113" s="50">
        <v>7</v>
      </c>
      <c r="D113" s="77">
        <v>17</v>
      </c>
      <c r="E113" s="7" t="s">
        <v>168</v>
      </c>
      <c r="F113" s="19">
        <v>6</v>
      </c>
      <c r="G113" s="4" t="s">
        <v>167</v>
      </c>
      <c r="H113" s="68">
        <v>5500</v>
      </c>
      <c r="I113" s="42">
        <v>5500</v>
      </c>
      <c r="J113" s="42">
        <f t="shared" si="7"/>
        <v>338190</v>
      </c>
      <c r="L113" s="56"/>
    </row>
    <row r="114" spans="1:13" s="1" customFormat="1" ht="20.25" customHeight="1" x14ac:dyDescent="0.15">
      <c r="A114" s="3">
        <f t="shared" si="0"/>
        <v>111</v>
      </c>
      <c r="B114" s="41">
        <v>5</v>
      </c>
      <c r="C114" s="50">
        <v>7</v>
      </c>
      <c r="D114" s="50">
        <v>17</v>
      </c>
      <c r="E114" s="7" t="s">
        <v>174</v>
      </c>
      <c r="F114" s="19" t="s">
        <v>39</v>
      </c>
      <c r="G114" s="4" t="s">
        <v>240</v>
      </c>
      <c r="H114" s="42">
        <v>2800</v>
      </c>
      <c r="I114" s="42"/>
      <c r="J114" s="42">
        <f t="shared" si="7"/>
        <v>340990</v>
      </c>
      <c r="L114" s="56"/>
    </row>
    <row r="115" spans="1:13" s="1" customFormat="1" ht="20.25" customHeight="1" x14ac:dyDescent="0.15">
      <c r="A115" s="3">
        <f t="shared" si="0"/>
        <v>112</v>
      </c>
      <c r="B115" s="41">
        <v>5</v>
      </c>
      <c r="C115" s="50">
        <v>7</v>
      </c>
      <c r="D115" s="50">
        <v>19</v>
      </c>
      <c r="E115" s="7" t="s">
        <v>239</v>
      </c>
      <c r="F115" s="19" t="s">
        <v>39</v>
      </c>
      <c r="G115" s="4" t="s">
        <v>137</v>
      </c>
      <c r="H115" s="42"/>
      <c r="I115" s="42">
        <v>2650</v>
      </c>
      <c r="J115" s="42">
        <f t="shared" ref="J115:J125" si="11">J114+H115-I115</f>
        <v>338340</v>
      </c>
      <c r="L115" s="56"/>
    </row>
    <row r="116" spans="1:13" s="1" customFormat="1" ht="20.25" customHeight="1" x14ac:dyDescent="0.15">
      <c r="A116" s="3">
        <f t="shared" si="0"/>
        <v>113</v>
      </c>
      <c r="B116" s="41">
        <v>5</v>
      </c>
      <c r="C116" s="50">
        <v>7</v>
      </c>
      <c r="D116" s="50">
        <v>21</v>
      </c>
      <c r="E116" s="7" t="s">
        <v>275</v>
      </c>
      <c r="F116" s="19">
        <v>3</v>
      </c>
      <c r="G116" s="4" t="s">
        <v>276</v>
      </c>
      <c r="H116" s="42"/>
      <c r="I116" s="70">
        <v>15000</v>
      </c>
      <c r="J116" s="42">
        <f t="shared" si="11"/>
        <v>323340</v>
      </c>
      <c r="L116" s="56"/>
    </row>
    <row r="117" spans="1:13" s="1" customFormat="1" ht="20.25" customHeight="1" x14ac:dyDescent="0.15">
      <c r="A117" s="3">
        <f t="shared" si="0"/>
        <v>114</v>
      </c>
      <c r="B117" s="41">
        <v>5</v>
      </c>
      <c r="C117" s="50">
        <v>7</v>
      </c>
      <c r="D117" s="50">
        <v>22</v>
      </c>
      <c r="E117" s="7" t="s">
        <v>279</v>
      </c>
      <c r="F117" s="19">
        <v>10</v>
      </c>
      <c r="G117" s="4" t="s">
        <v>117</v>
      </c>
      <c r="H117" s="42"/>
      <c r="I117" s="72">
        <v>15000</v>
      </c>
      <c r="J117" s="42">
        <f t="shared" si="11"/>
        <v>308340</v>
      </c>
      <c r="L117" s="56"/>
    </row>
    <row r="118" spans="1:13" s="1" customFormat="1" ht="20.25" customHeight="1" x14ac:dyDescent="0.15">
      <c r="A118" s="3">
        <f t="shared" si="0"/>
        <v>115</v>
      </c>
      <c r="B118" s="41">
        <v>5</v>
      </c>
      <c r="C118" s="50">
        <v>7</v>
      </c>
      <c r="D118" s="162">
        <v>23</v>
      </c>
      <c r="E118" s="7" t="s">
        <v>272</v>
      </c>
      <c r="F118" s="19">
        <v>11</v>
      </c>
      <c r="G118" s="4" t="s">
        <v>277</v>
      </c>
      <c r="H118" s="42"/>
      <c r="I118" s="70">
        <v>2000</v>
      </c>
      <c r="J118" s="42">
        <f t="shared" si="11"/>
        <v>306340</v>
      </c>
      <c r="L118" s="56"/>
    </row>
    <row r="119" spans="1:13" s="1" customFormat="1" ht="20.25" customHeight="1" x14ac:dyDescent="0.15">
      <c r="A119" s="3">
        <f t="shared" si="0"/>
        <v>116</v>
      </c>
      <c r="B119" s="41">
        <v>5</v>
      </c>
      <c r="C119" s="50">
        <v>7</v>
      </c>
      <c r="D119" s="162">
        <v>23</v>
      </c>
      <c r="E119" s="7" t="s">
        <v>273</v>
      </c>
      <c r="F119" s="19">
        <v>3</v>
      </c>
      <c r="G119" s="4" t="s">
        <v>274</v>
      </c>
      <c r="H119" s="42"/>
      <c r="I119" s="70">
        <v>10000</v>
      </c>
      <c r="J119" s="42">
        <f t="shared" si="11"/>
        <v>296340</v>
      </c>
      <c r="L119" s="56"/>
    </row>
    <row r="120" spans="1:13" s="1" customFormat="1" ht="20.25" customHeight="1" x14ac:dyDescent="0.15">
      <c r="A120" s="3">
        <f t="shared" si="0"/>
        <v>117</v>
      </c>
      <c r="B120" s="41">
        <v>5</v>
      </c>
      <c r="C120" s="50">
        <v>7</v>
      </c>
      <c r="D120" s="162">
        <v>26</v>
      </c>
      <c r="E120" s="7" t="s">
        <v>278</v>
      </c>
      <c r="F120" s="19">
        <v>11</v>
      </c>
      <c r="G120" s="4" t="s">
        <v>277</v>
      </c>
      <c r="H120" s="42"/>
      <c r="I120" s="72">
        <v>1500</v>
      </c>
      <c r="J120" s="42">
        <f t="shared" si="11"/>
        <v>294840</v>
      </c>
      <c r="L120" s="56"/>
    </row>
    <row r="121" spans="1:13" s="1" customFormat="1" ht="20.25" customHeight="1" x14ac:dyDescent="0.15">
      <c r="A121" s="3">
        <f t="shared" si="0"/>
        <v>118</v>
      </c>
      <c r="B121" s="51">
        <v>5</v>
      </c>
      <c r="C121" s="51">
        <v>9</v>
      </c>
      <c r="D121" s="51">
        <v>13</v>
      </c>
      <c r="E121" s="52" t="s">
        <v>14</v>
      </c>
      <c r="F121" s="53" t="s">
        <v>15</v>
      </c>
      <c r="G121" s="54" t="s">
        <v>16</v>
      </c>
      <c r="H121" s="55"/>
      <c r="I121" s="55"/>
      <c r="J121" s="42">
        <f t="shared" si="11"/>
        <v>294840</v>
      </c>
      <c r="L121" s="57" t="s">
        <v>33</v>
      </c>
    </row>
    <row r="122" spans="1:13" s="1" customFormat="1" ht="20.25" customHeight="1" x14ac:dyDescent="0.15">
      <c r="A122" s="3">
        <f t="shared" si="0"/>
        <v>119</v>
      </c>
      <c r="B122" s="51">
        <v>5</v>
      </c>
      <c r="C122" s="51">
        <v>3</v>
      </c>
      <c r="D122" s="51">
        <v>14</v>
      </c>
      <c r="E122" s="52" t="s">
        <v>17</v>
      </c>
      <c r="F122" s="53" t="s">
        <v>15</v>
      </c>
      <c r="G122" s="54" t="s">
        <v>16</v>
      </c>
      <c r="H122" s="55"/>
      <c r="I122" s="55"/>
      <c r="J122" s="42">
        <f t="shared" si="11"/>
        <v>294840</v>
      </c>
      <c r="L122" s="58">
        <v>144000</v>
      </c>
      <c r="M122" s="59" t="s">
        <v>34</v>
      </c>
    </row>
    <row r="123" spans="1:13" s="1" customFormat="1" ht="20.25" customHeight="1" x14ac:dyDescent="0.15">
      <c r="A123" s="3"/>
      <c r="B123" s="41"/>
      <c r="C123" s="41"/>
      <c r="D123" s="41"/>
      <c r="E123" s="37"/>
      <c r="F123" s="38"/>
      <c r="G123" s="39"/>
      <c r="H123" s="43"/>
      <c r="I123" s="42"/>
      <c r="J123" s="42">
        <f t="shared" si="11"/>
        <v>294840</v>
      </c>
      <c r="L123" s="58">
        <v>9900</v>
      </c>
      <c r="M123" s="60" t="s">
        <v>35</v>
      </c>
    </row>
    <row r="124" spans="1:13" s="1" customFormat="1" ht="20.25" customHeight="1" x14ac:dyDescent="0.15">
      <c r="A124" s="3"/>
      <c r="B124" s="41"/>
      <c r="C124" s="41"/>
      <c r="D124" s="41"/>
      <c r="E124" s="37"/>
      <c r="F124" s="38"/>
      <c r="G124" s="39"/>
      <c r="H124" s="43"/>
      <c r="I124" s="42"/>
      <c r="J124" s="42">
        <f t="shared" si="11"/>
        <v>294840</v>
      </c>
      <c r="M124" s="61">
        <f>SUM(L122:L123)</f>
        <v>153900</v>
      </c>
    </row>
    <row r="125" spans="1:13" s="1" customFormat="1" ht="20.25" customHeight="1" x14ac:dyDescent="0.15">
      <c r="A125" s="3"/>
      <c r="B125" s="41"/>
      <c r="C125" s="41"/>
      <c r="D125" s="41"/>
      <c r="E125" s="37"/>
      <c r="F125" s="38"/>
      <c r="G125" s="40" t="s">
        <v>126</v>
      </c>
      <c r="H125" s="43"/>
      <c r="I125" s="42"/>
      <c r="J125" s="42">
        <f t="shared" si="11"/>
        <v>294840</v>
      </c>
      <c r="L125" s="56">
        <f>L11+L122</f>
        <v>144000</v>
      </c>
      <c r="M125" s="59" t="s">
        <v>36</v>
      </c>
    </row>
    <row r="126" spans="1:13" ht="20.25" customHeight="1" x14ac:dyDescent="0.15">
      <c r="A126" s="378" t="s">
        <v>8</v>
      </c>
      <c r="B126" s="378"/>
      <c r="C126" s="378"/>
      <c r="D126" s="378"/>
      <c r="E126" s="378"/>
      <c r="F126" s="378"/>
      <c r="G126" s="378"/>
      <c r="H126" s="48">
        <f>SUM(H4:H125)</f>
        <v>2501641</v>
      </c>
      <c r="I126" s="48">
        <f>SUM(I4:I125)</f>
        <v>2226801</v>
      </c>
      <c r="J126" s="8">
        <f>H126-I126</f>
        <v>274840</v>
      </c>
    </row>
    <row r="127" spans="1:13" ht="20.25" customHeight="1" x14ac:dyDescent="0.15">
      <c r="A127" s="1"/>
      <c r="B127" s="1"/>
      <c r="C127" s="1"/>
      <c r="D127" s="1"/>
      <c r="E127" s="1"/>
      <c r="F127" s="1"/>
      <c r="G127" s="75" t="s">
        <v>125</v>
      </c>
      <c r="H127" s="27">
        <f>H126-H4-H5</f>
        <v>1644820</v>
      </c>
      <c r="I127" s="27">
        <f>I126-I4-I5</f>
        <v>1369980</v>
      </c>
      <c r="J127" s="26"/>
    </row>
    <row r="128" spans="1:13" ht="31.5" hidden="1" customHeight="1" x14ac:dyDescent="0.15">
      <c r="G128" s="28"/>
      <c r="H128" s="29" t="s">
        <v>25</v>
      </c>
      <c r="I128" s="11" t="s">
        <v>22</v>
      </c>
      <c r="J128" s="30">
        <v>1056662</v>
      </c>
    </row>
    <row r="129" spans="4:12" ht="31.5" customHeight="1" x14ac:dyDescent="0.15">
      <c r="H129" s="73"/>
      <c r="I129" s="33"/>
      <c r="J129" s="74"/>
    </row>
    <row r="130" spans="4:12" ht="31.5" customHeight="1" x14ac:dyDescent="0.15">
      <c r="D130" s="79" t="s">
        <v>175</v>
      </c>
      <c r="E130" s="80">
        <v>480370</v>
      </c>
      <c r="H130" s="73"/>
      <c r="I130" s="33"/>
      <c r="J130" s="74"/>
    </row>
    <row r="131" spans="4:12" ht="31.5" customHeight="1" x14ac:dyDescent="0.15">
      <c r="H131" s="32"/>
      <c r="I131" s="33" t="s">
        <v>22</v>
      </c>
      <c r="J131" s="34">
        <f>J126-J132</f>
        <v>219920</v>
      </c>
      <c r="K131" s="31"/>
      <c r="L131">
        <v>801901</v>
      </c>
    </row>
    <row r="132" spans="4:12" ht="24" customHeight="1" x14ac:dyDescent="0.15">
      <c r="G132" s="35"/>
      <c r="H132" s="36"/>
      <c r="I132" s="36" t="s">
        <v>23</v>
      </c>
      <c r="J132" s="34">
        <v>54920</v>
      </c>
      <c r="K132" s="31"/>
      <c r="L132">
        <v>54920</v>
      </c>
    </row>
    <row r="133" spans="4:12" ht="24.75" customHeight="1" x14ac:dyDescent="0.15">
      <c r="G133" s="15"/>
      <c r="H133" s="17"/>
      <c r="I133" s="18" t="s">
        <v>24</v>
      </c>
      <c r="J133" s="14">
        <f>SUM(J131:J132)</f>
        <v>274840</v>
      </c>
    </row>
    <row r="134" spans="4:12" ht="24.75" customHeight="1" x14ac:dyDescent="0.15">
      <c r="G134" s="15"/>
      <c r="H134" s="18"/>
      <c r="I134" s="14"/>
      <c r="J134" s="14"/>
    </row>
    <row r="135" spans="4:12" ht="24.75" customHeight="1" x14ac:dyDescent="0.15">
      <c r="H135" s="16"/>
      <c r="J135" s="14"/>
    </row>
  </sheetData>
  <sortState xmlns:xlrd2="http://schemas.microsoft.com/office/spreadsheetml/2017/richdata2" ref="A4:J125">
    <sortCondition ref="B4:B125"/>
    <sortCondition ref="C4:C125"/>
    <sortCondition ref="D4:D125"/>
    <sortCondition ref="G4:G125"/>
    <sortCondition ref="F4:F125"/>
  </sortState>
  <mergeCells count="4">
    <mergeCell ref="A126:G126"/>
    <mergeCell ref="A2:J2"/>
    <mergeCell ref="A1:D1"/>
    <mergeCell ref="H1:J1"/>
  </mergeCells>
  <phoneticPr fontId="2"/>
  <pageMargins left="1.1023622047244095" right="0.70866141732283472" top="0.74803149606299213" bottom="0.74803149606299213" header="0.31496062992125984" footer="0.31496062992125984"/>
  <pageSetup paperSize="9" scale="88" orientation="portrait" r:id="rId1"/>
  <headerFooter>
    <oddHeader>&amp;C&amp;"ＭＳ Ｐゴシック,標準"&amp;K000000&amp;A</oddHeader>
    <oddFooter>&amp;L&amp;"ＭＳ Ｐゴシック,標準"&amp;K000000&amp;Z&amp;F</oddFooter>
  </headerFooter>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72E364C-B266-4CC0-A5F3-5F8181DF5ED6}">
  <dimension ref="A1:M128"/>
  <sheetViews>
    <sheetView view="pageBreakPreview" topLeftCell="A81" zoomScale="115" zoomScaleNormal="100" zoomScaleSheetLayoutView="115" workbookViewId="0">
      <selection activeCell="E124" sqref="E124"/>
    </sheetView>
  </sheetViews>
  <sheetFormatPr defaultColWidth="8.875" defaultRowHeight="13.5" x14ac:dyDescent="0.15"/>
  <cols>
    <col min="1" max="1" width="4.125" bestFit="1" customWidth="1"/>
    <col min="2" max="4" width="3.625" bestFit="1" customWidth="1"/>
    <col min="5" max="5" width="30" bestFit="1" customWidth="1"/>
    <col min="6" max="6" width="5.5" bestFit="1" customWidth="1"/>
    <col min="7" max="7" width="16.5" bestFit="1" customWidth="1"/>
    <col min="8" max="8" width="9.625" bestFit="1" customWidth="1"/>
    <col min="9" max="9" width="9.375" bestFit="1" customWidth="1"/>
    <col min="10" max="10" width="9.625" bestFit="1" customWidth="1"/>
    <col min="13" max="13" width="9.625" bestFit="1" customWidth="1"/>
  </cols>
  <sheetData>
    <row r="1" spans="1:10" ht="24" x14ac:dyDescent="0.15">
      <c r="A1" s="381" t="s">
        <v>26</v>
      </c>
      <c r="B1" s="381"/>
      <c r="C1" s="381"/>
      <c r="D1" s="381"/>
      <c r="E1" s="20"/>
      <c r="F1" s="5"/>
      <c r="H1" s="383" t="str">
        <f>[1]⑭祭礼会計出納簿!H1</f>
        <v>2020/3/31 現在</v>
      </c>
      <c r="I1" s="383"/>
      <c r="J1" s="383"/>
    </row>
    <row r="2" spans="1:10" x14ac:dyDescent="0.15">
      <c r="A2" s="384" t="str">
        <f>[1]⑭祭礼会計出納簿!A2</f>
        <v>令和元年度　駒寄町内会　祭礼会計出納簿　(平成30年9月1日～令和2年3月31日)</v>
      </c>
      <c r="B2" s="384"/>
      <c r="C2" s="384"/>
      <c r="D2" s="384"/>
      <c r="E2" s="384"/>
      <c r="F2" s="384"/>
      <c r="G2" s="384"/>
      <c r="H2" s="384"/>
      <c r="I2" s="384"/>
      <c r="J2" s="384"/>
    </row>
    <row r="3" spans="1:10" x14ac:dyDescent="0.15">
      <c r="A3" s="3" t="s">
        <v>6</v>
      </c>
      <c r="B3" s="12" t="s">
        <v>0</v>
      </c>
      <c r="C3" s="12" t="s">
        <v>1</v>
      </c>
      <c r="D3" s="12" t="s">
        <v>2</v>
      </c>
      <c r="E3" s="3" t="s">
        <v>3</v>
      </c>
      <c r="F3" s="2" t="s">
        <v>4</v>
      </c>
      <c r="G3" s="2" t="s">
        <v>5</v>
      </c>
      <c r="H3" s="10" t="s">
        <v>9</v>
      </c>
      <c r="I3" s="10" t="s">
        <v>7</v>
      </c>
      <c r="J3" s="10" t="s">
        <v>10</v>
      </c>
    </row>
    <row r="4" spans="1:10" x14ac:dyDescent="0.15">
      <c r="A4" s="3">
        <v>9</v>
      </c>
      <c r="B4" s="12">
        <v>1</v>
      </c>
      <c r="C4" s="12">
        <v>7</v>
      </c>
      <c r="D4" s="12">
        <v>3</v>
      </c>
      <c r="E4" s="6" t="s">
        <v>416</v>
      </c>
      <c r="F4" s="2">
        <v>1</v>
      </c>
      <c r="G4" s="9" t="s">
        <v>155</v>
      </c>
      <c r="H4" s="10"/>
      <c r="I4" s="8">
        <v>47895</v>
      </c>
      <c r="J4" s="8"/>
    </row>
    <row r="5" spans="1:10" x14ac:dyDescent="0.15">
      <c r="A5" s="3">
        <v>11</v>
      </c>
      <c r="B5" s="12">
        <v>1</v>
      </c>
      <c r="C5" s="12">
        <v>7</v>
      </c>
      <c r="D5" s="12">
        <v>3</v>
      </c>
      <c r="E5" s="6" t="s">
        <v>417</v>
      </c>
      <c r="F5" s="2">
        <v>1</v>
      </c>
      <c r="G5" s="9" t="s">
        <v>418</v>
      </c>
      <c r="H5" s="10"/>
      <c r="I5" s="8">
        <v>48894</v>
      </c>
      <c r="J5" s="8"/>
    </row>
    <row r="6" spans="1:10" x14ac:dyDescent="0.15">
      <c r="A6" s="3">
        <v>14</v>
      </c>
      <c r="B6" s="12">
        <v>1</v>
      </c>
      <c r="C6" s="12">
        <v>7</v>
      </c>
      <c r="D6" s="12">
        <v>4</v>
      </c>
      <c r="E6" s="6" t="s">
        <v>419</v>
      </c>
      <c r="F6" s="2">
        <v>1</v>
      </c>
      <c r="G6" s="9" t="s">
        <v>205</v>
      </c>
      <c r="H6" s="10"/>
      <c r="I6" s="8">
        <v>62473</v>
      </c>
      <c r="J6" s="8"/>
    </row>
    <row r="7" spans="1:10" x14ac:dyDescent="0.15">
      <c r="A7" s="3">
        <v>28</v>
      </c>
      <c r="B7" s="12">
        <v>1</v>
      </c>
      <c r="C7" s="12">
        <v>7</v>
      </c>
      <c r="D7" s="12">
        <v>11</v>
      </c>
      <c r="E7" s="6" t="s">
        <v>420</v>
      </c>
      <c r="F7" s="2">
        <v>1</v>
      </c>
      <c r="G7" s="9" t="s">
        <v>421</v>
      </c>
      <c r="H7" s="10"/>
      <c r="I7" s="8">
        <v>13696</v>
      </c>
      <c r="J7" s="8"/>
    </row>
    <row r="8" spans="1:10" x14ac:dyDescent="0.15">
      <c r="A8" s="3">
        <v>34</v>
      </c>
      <c r="B8" s="12">
        <v>1</v>
      </c>
      <c r="C8" s="12">
        <v>7</v>
      </c>
      <c r="D8" s="12">
        <v>18</v>
      </c>
      <c r="E8" s="6" t="s">
        <v>422</v>
      </c>
      <c r="F8" s="2">
        <v>1</v>
      </c>
      <c r="G8" s="9" t="s">
        <v>146</v>
      </c>
      <c r="H8" s="10"/>
      <c r="I8" s="8">
        <v>13405</v>
      </c>
      <c r="J8" s="8"/>
    </row>
    <row r="9" spans="1:10" x14ac:dyDescent="0.15">
      <c r="A9" s="3">
        <v>35</v>
      </c>
      <c r="B9" s="12">
        <v>1</v>
      </c>
      <c r="C9" s="12">
        <v>7</v>
      </c>
      <c r="D9" s="12">
        <v>19</v>
      </c>
      <c r="E9" s="6" t="s">
        <v>423</v>
      </c>
      <c r="F9" s="2">
        <v>1</v>
      </c>
      <c r="G9" s="9" t="s">
        <v>424</v>
      </c>
      <c r="H9" s="10"/>
      <c r="I9" s="8">
        <v>10300</v>
      </c>
      <c r="J9" s="8"/>
    </row>
    <row r="10" spans="1:10" x14ac:dyDescent="0.15">
      <c r="A10" s="3">
        <v>40</v>
      </c>
      <c r="B10" s="12">
        <v>1</v>
      </c>
      <c r="C10" s="12">
        <v>7</v>
      </c>
      <c r="D10" s="12">
        <v>20</v>
      </c>
      <c r="E10" s="6" t="s">
        <v>425</v>
      </c>
      <c r="F10" s="2">
        <v>1</v>
      </c>
      <c r="G10" s="9" t="s">
        <v>203</v>
      </c>
      <c r="H10" s="10"/>
      <c r="I10" s="8">
        <v>45056</v>
      </c>
      <c r="J10" s="8"/>
    </row>
    <row r="11" spans="1:10" x14ac:dyDescent="0.15">
      <c r="A11" s="3">
        <v>41</v>
      </c>
      <c r="B11" s="12">
        <v>1</v>
      </c>
      <c r="C11" s="12">
        <v>7</v>
      </c>
      <c r="D11" s="12">
        <v>20</v>
      </c>
      <c r="E11" s="6" t="s">
        <v>426</v>
      </c>
      <c r="F11" s="2">
        <v>1</v>
      </c>
      <c r="G11" s="9" t="s">
        <v>427</v>
      </c>
      <c r="H11" s="10"/>
      <c r="I11" s="8">
        <v>4200</v>
      </c>
      <c r="J11" s="8"/>
    </row>
    <row r="12" spans="1:10" x14ac:dyDescent="0.15">
      <c r="A12" s="3">
        <v>43</v>
      </c>
      <c r="B12" s="12">
        <v>1</v>
      </c>
      <c r="C12" s="12">
        <v>7</v>
      </c>
      <c r="D12" s="12">
        <v>20</v>
      </c>
      <c r="E12" s="6" t="s">
        <v>428</v>
      </c>
      <c r="F12" s="2">
        <v>1</v>
      </c>
      <c r="G12" s="9" t="s">
        <v>146</v>
      </c>
      <c r="H12" s="10"/>
      <c r="I12" s="8">
        <v>750</v>
      </c>
      <c r="J12" s="8"/>
    </row>
    <row r="13" spans="1:10" x14ac:dyDescent="0.15">
      <c r="A13" s="3">
        <v>44</v>
      </c>
      <c r="B13" s="12">
        <v>1</v>
      </c>
      <c r="C13" s="12">
        <v>7</v>
      </c>
      <c r="D13" s="12">
        <v>20</v>
      </c>
      <c r="E13" s="6" t="s">
        <v>429</v>
      </c>
      <c r="F13" s="19">
        <v>1</v>
      </c>
      <c r="G13" s="4" t="s">
        <v>146</v>
      </c>
      <c r="H13" s="10"/>
      <c r="I13" s="8">
        <v>952</v>
      </c>
      <c r="J13" s="8"/>
    </row>
    <row r="14" spans="1:10" x14ac:dyDescent="0.15">
      <c r="A14" s="3">
        <v>45</v>
      </c>
      <c r="B14" s="12">
        <v>1</v>
      </c>
      <c r="C14" s="12">
        <v>7</v>
      </c>
      <c r="D14" s="12">
        <v>20</v>
      </c>
      <c r="E14" s="6" t="s">
        <v>430</v>
      </c>
      <c r="F14" s="2">
        <v>1</v>
      </c>
      <c r="G14" s="9" t="s">
        <v>431</v>
      </c>
      <c r="H14" s="10"/>
      <c r="I14" s="8">
        <v>1404</v>
      </c>
      <c r="J14" s="8"/>
    </row>
    <row r="15" spans="1:10" x14ac:dyDescent="0.15">
      <c r="A15" s="3">
        <v>52</v>
      </c>
      <c r="B15" s="12">
        <v>1</v>
      </c>
      <c r="C15" s="12">
        <v>7</v>
      </c>
      <c r="D15" s="12">
        <v>21</v>
      </c>
      <c r="E15" s="6" t="s">
        <v>432</v>
      </c>
      <c r="F15" s="2">
        <v>1</v>
      </c>
      <c r="G15" s="9" t="s">
        <v>433</v>
      </c>
      <c r="H15" s="10"/>
      <c r="I15" s="8">
        <v>24000</v>
      </c>
      <c r="J15" s="8"/>
    </row>
    <row r="16" spans="1:10" x14ac:dyDescent="0.15">
      <c r="A16" s="3">
        <v>53</v>
      </c>
      <c r="B16" s="12">
        <v>1</v>
      </c>
      <c r="C16" s="12">
        <v>7</v>
      </c>
      <c r="D16" s="12">
        <v>21</v>
      </c>
      <c r="E16" s="6" t="s">
        <v>434</v>
      </c>
      <c r="F16" s="2">
        <v>1</v>
      </c>
      <c r="G16" s="9" t="s">
        <v>431</v>
      </c>
      <c r="H16" s="10"/>
      <c r="I16" s="8">
        <v>2160</v>
      </c>
      <c r="J16" s="8"/>
    </row>
    <row r="17" spans="1:10" x14ac:dyDescent="0.15">
      <c r="A17" s="3">
        <v>54</v>
      </c>
      <c r="B17" s="12">
        <v>1</v>
      </c>
      <c r="C17" s="12">
        <v>7</v>
      </c>
      <c r="D17" s="12">
        <v>21</v>
      </c>
      <c r="E17" s="6" t="s">
        <v>435</v>
      </c>
      <c r="F17" s="2">
        <v>1</v>
      </c>
      <c r="G17" s="9" t="s">
        <v>436</v>
      </c>
      <c r="H17" s="10"/>
      <c r="I17" s="8">
        <v>2170</v>
      </c>
      <c r="J17" s="8"/>
    </row>
    <row r="18" spans="1:10" x14ac:dyDescent="0.15">
      <c r="A18" s="3">
        <v>62</v>
      </c>
      <c r="B18" s="12">
        <v>1</v>
      </c>
      <c r="C18" s="12">
        <v>7</v>
      </c>
      <c r="D18" s="12">
        <v>22</v>
      </c>
      <c r="E18" s="6" t="s">
        <v>437</v>
      </c>
      <c r="F18" s="2">
        <v>1</v>
      </c>
      <c r="G18" s="9" t="s">
        <v>436</v>
      </c>
      <c r="H18" s="10"/>
      <c r="I18" s="8">
        <v>57240</v>
      </c>
      <c r="J18" s="8"/>
    </row>
    <row r="19" spans="1:10" x14ac:dyDescent="0.15">
      <c r="A19" s="3">
        <v>63</v>
      </c>
      <c r="B19" s="12">
        <v>1</v>
      </c>
      <c r="C19" s="12">
        <v>7</v>
      </c>
      <c r="D19" s="12">
        <v>22</v>
      </c>
      <c r="E19" s="6" t="s">
        <v>438</v>
      </c>
      <c r="F19" s="2">
        <v>1</v>
      </c>
      <c r="G19" s="9" t="s">
        <v>439</v>
      </c>
      <c r="H19" s="10"/>
      <c r="I19" s="8">
        <v>13150</v>
      </c>
      <c r="J19" s="8"/>
    </row>
    <row r="20" spans="1:10" x14ac:dyDescent="0.15">
      <c r="A20" s="3">
        <v>64</v>
      </c>
      <c r="B20" s="12">
        <v>1</v>
      </c>
      <c r="C20" s="12">
        <v>7</v>
      </c>
      <c r="D20" s="12">
        <v>22</v>
      </c>
      <c r="E20" s="6" t="s">
        <v>440</v>
      </c>
      <c r="F20" s="2">
        <v>1</v>
      </c>
      <c r="G20" s="9" t="s">
        <v>441</v>
      </c>
      <c r="H20" s="10"/>
      <c r="I20" s="8">
        <v>4320</v>
      </c>
      <c r="J20" s="8"/>
    </row>
    <row r="21" spans="1:10" x14ac:dyDescent="0.15">
      <c r="A21" s="3">
        <v>78</v>
      </c>
      <c r="B21" s="12">
        <v>1</v>
      </c>
      <c r="C21" s="12">
        <v>7</v>
      </c>
      <c r="D21" s="12">
        <v>31</v>
      </c>
      <c r="E21" s="6" t="s">
        <v>442</v>
      </c>
      <c r="F21" s="2">
        <v>1</v>
      </c>
      <c r="G21" s="9" t="s">
        <v>436</v>
      </c>
      <c r="H21" s="10"/>
      <c r="I21" s="8">
        <v>4500</v>
      </c>
      <c r="J21" s="8"/>
    </row>
    <row r="22" spans="1:10" x14ac:dyDescent="0.15">
      <c r="A22" s="3"/>
      <c r="B22" s="12"/>
      <c r="C22" s="12"/>
      <c r="D22" s="12"/>
      <c r="E22" s="6"/>
      <c r="F22" s="2"/>
      <c r="G22" s="219" t="s">
        <v>443</v>
      </c>
      <c r="H22" s="10"/>
      <c r="I22" s="8">
        <f>SUM(I4:I21)</f>
        <v>356565</v>
      </c>
      <c r="J22" s="8"/>
    </row>
    <row r="23" spans="1:10" x14ac:dyDescent="0.15">
      <c r="A23" s="3"/>
      <c r="B23" s="12"/>
      <c r="C23" s="12"/>
      <c r="D23" s="12"/>
      <c r="E23" s="6"/>
      <c r="F23" s="2"/>
      <c r="G23" s="9"/>
      <c r="H23" s="10"/>
      <c r="I23" s="8"/>
      <c r="J23" s="8"/>
    </row>
    <row r="24" spans="1:10" x14ac:dyDescent="0.15">
      <c r="A24" s="3">
        <v>39</v>
      </c>
      <c r="B24" s="12">
        <v>1</v>
      </c>
      <c r="C24" s="12">
        <v>7</v>
      </c>
      <c r="D24" s="12">
        <v>20</v>
      </c>
      <c r="E24" s="6" t="s">
        <v>444</v>
      </c>
      <c r="F24" s="2">
        <v>2</v>
      </c>
      <c r="G24" s="9" t="s">
        <v>445</v>
      </c>
      <c r="H24" s="10"/>
      <c r="I24" s="8">
        <v>7182</v>
      </c>
      <c r="J24" s="8"/>
    </row>
    <row r="25" spans="1:10" x14ac:dyDescent="0.15">
      <c r="A25" s="3">
        <v>65</v>
      </c>
      <c r="B25" s="12">
        <v>1</v>
      </c>
      <c r="C25" s="12">
        <v>7</v>
      </c>
      <c r="D25" s="12">
        <v>22</v>
      </c>
      <c r="E25" s="6" t="s">
        <v>446</v>
      </c>
      <c r="F25" s="2">
        <v>2</v>
      </c>
      <c r="G25" s="9" t="s">
        <v>441</v>
      </c>
      <c r="H25" s="10"/>
      <c r="I25" s="8">
        <v>9320</v>
      </c>
      <c r="J25" s="8"/>
    </row>
    <row r="26" spans="1:10" x14ac:dyDescent="0.15">
      <c r="A26" s="3"/>
      <c r="B26" s="12"/>
      <c r="C26" s="12"/>
      <c r="D26" s="12"/>
      <c r="E26" s="6"/>
      <c r="F26" s="2"/>
      <c r="G26" s="219" t="s">
        <v>443</v>
      </c>
      <c r="H26" s="10"/>
      <c r="I26" s="8">
        <f>SUM(I24:I25)</f>
        <v>16502</v>
      </c>
      <c r="J26" s="8"/>
    </row>
    <row r="27" spans="1:10" x14ac:dyDescent="0.15">
      <c r="A27" s="3"/>
      <c r="B27" s="12"/>
      <c r="C27" s="12"/>
      <c r="D27" s="12"/>
      <c r="E27" s="6"/>
      <c r="F27" s="2"/>
      <c r="G27" s="9"/>
      <c r="H27" s="10"/>
      <c r="I27" s="8"/>
      <c r="J27" s="8"/>
    </row>
    <row r="28" spans="1:10" x14ac:dyDescent="0.15">
      <c r="A28" s="3">
        <v>2</v>
      </c>
      <c r="B28" s="12">
        <v>1</v>
      </c>
      <c r="C28" s="12">
        <v>5</v>
      </c>
      <c r="D28" s="12">
        <v>26</v>
      </c>
      <c r="E28" s="6" t="s">
        <v>447</v>
      </c>
      <c r="F28" s="2">
        <v>3</v>
      </c>
      <c r="G28" s="9" t="s">
        <v>204</v>
      </c>
      <c r="H28" s="10"/>
      <c r="I28" s="8">
        <v>10000</v>
      </c>
      <c r="J28" s="8"/>
    </row>
    <row r="29" spans="1:10" x14ac:dyDescent="0.15">
      <c r="A29" s="3">
        <v>76</v>
      </c>
      <c r="B29" s="12">
        <v>1</v>
      </c>
      <c r="C29" s="12">
        <v>7</v>
      </c>
      <c r="D29" s="12">
        <v>26</v>
      </c>
      <c r="E29" s="6" t="s">
        <v>448</v>
      </c>
      <c r="F29" s="38">
        <v>3</v>
      </c>
      <c r="G29" s="9" t="s">
        <v>449</v>
      </c>
      <c r="H29" s="220"/>
      <c r="I29" s="48">
        <v>15000</v>
      </c>
      <c r="J29" s="48"/>
    </row>
    <row r="30" spans="1:10" x14ac:dyDescent="0.15">
      <c r="A30" s="3"/>
      <c r="B30" s="12"/>
      <c r="C30" s="12"/>
      <c r="D30" s="12"/>
      <c r="E30" s="6"/>
      <c r="F30" s="2"/>
      <c r="G30" s="219" t="s">
        <v>443</v>
      </c>
      <c r="H30" s="10"/>
      <c r="I30" s="8">
        <f>SUM(I28:I29)</f>
        <v>25000</v>
      </c>
      <c r="J30" s="8"/>
    </row>
    <row r="31" spans="1:10" x14ac:dyDescent="0.15">
      <c r="A31" s="3"/>
      <c r="B31" s="12"/>
      <c r="C31" s="12"/>
      <c r="D31" s="12"/>
      <c r="E31" s="6"/>
      <c r="F31" s="2"/>
      <c r="G31" s="9"/>
      <c r="H31" s="10"/>
      <c r="I31" s="8"/>
      <c r="J31" s="8"/>
    </row>
    <row r="32" spans="1:10" x14ac:dyDescent="0.15">
      <c r="A32" s="3">
        <v>61</v>
      </c>
      <c r="B32" s="12">
        <v>1</v>
      </c>
      <c r="C32" s="12">
        <v>7</v>
      </c>
      <c r="D32" s="12">
        <v>22</v>
      </c>
      <c r="E32" s="7" t="s">
        <v>450</v>
      </c>
      <c r="F32" s="19">
        <v>4</v>
      </c>
      <c r="G32" s="4" t="s">
        <v>68</v>
      </c>
      <c r="H32" s="8"/>
      <c r="I32" s="8">
        <v>10340</v>
      </c>
      <c r="J32" s="8"/>
    </row>
    <row r="33" spans="1:10" x14ac:dyDescent="0.15">
      <c r="A33" s="3"/>
      <c r="B33" s="12"/>
      <c r="C33" s="12"/>
      <c r="D33" s="12"/>
      <c r="E33" s="6"/>
      <c r="F33" s="2"/>
      <c r="G33" s="9"/>
      <c r="H33" s="10"/>
      <c r="I33" s="8"/>
      <c r="J33" s="8"/>
    </row>
    <row r="34" spans="1:10" x14ac:dyDescent="0.15">
      <c r="A34" s="3">
        <v>10</v>
      </c>
      <c r="B34" s="12">
        <v>1</v>
      </c>
      <c r="C34" s="12">
        <v>7</v>
      </c>
      <c r="D34" s="12">
        <v>3</v>
      </c>
      <c r="E34" s="6" t="s">
        <v>451</v>
      </c>
      <c r="F34" s="2">
        <v>5</v>
      </c>
      <c r="G34" s="9" t="s">
        <v>155</v>
      </c>
      <c r="H34" s="10"/>
      <c r="I34" s="8">
        <v>10678</v>
      </c>
      <c r="J34" s="8"/>
    </row>
    <row r="35" spans="1:10" x14ac:dyDescent="0.15">
      <c r="A35" s="3">
        <v>46</v>
      </c>
      <c r="B35" s="12">
        <v>1</v>
      </c>
      <c r="C35" s="12">
        <v>7</v>
      </c>
      <c r="D35" s="12">
        <v>20</v>
      </c>
      <c r="E35" s="7" t="s">
        <v>452</v>
      </c>
      <c r="F35" s="19">
        <v>5</v>
      </c>
      <c r="G35" s="4" t="s">
        <v>203</v>
      </c>
      <c r="H35" s="8"/>
      <c r="I35" s="8">
        <v>8500</v>
      </c>
      <c r="J35" s="8"/>
    </row>
    <row r="36" spans="1:10" x14ac:dyDescent="0.15">
      <c r="A36" s="3">
        <v>48</v>
      </c>
      <c r="B36" s="12">
        <v>1</v>
      </c>
      <c r="C36" s="12">
        <v>7</v>
      </c>
      <c r="D36" s="12">
        <v>20</v>
      </c>
      <c r="E36" s="6" t="s">
        <v>453</v>
      </c>
      <c r="F36" s="2">
        <v>5</v>
      </c>
      <c r="G36" s="9" t="s">
        <v>146</v>
      </c>
      <c r="H36" s="10"/>
      <c r="I36" s="8">
        <v>1684</v>
      </c>
      <c r="J36" s="8"/>
    </row>
    <row r="37" spans="1:10" x14ac:dyDescent="0.15">
      <c r="A37" s="3">
        <v>51</v>
      </c>
      <c r="B37" s="12">
        <v>1</v>
      </c>
      <c r="C37" s="12">
        <v>7</v>
      </c>
      <c r="D37" s="12">
        <v>21</v>
      </c>
      <c r="E37" s="6" t="s">
        <v>454</v>
      </c>
      <c r="F37" s="2">
        <v>5</v>
      </c>
      <c r="G37" s="9" t="s">
        <v>146</v>
      </c>
      <c r="H37" s="10"/>
      <c r="I37" s="8">
        <v>568</v>
      </c>
      <c r="J37" s="8"/>
    </row>
    <row r="38" spans="1:10" x14ac:dyDescent="0.15">
      <c r="A38" s="3"/>
      <c r="B38" s="12"/>
      <c r="C38" s="12"/>
      <c r="D38" s="12"/>
      <c r="E38" s="6"/>
      <c r="F38" s="2"/>
      <c r="G38" s="219" t="s">
        <v>443</v>
      </c>
      <c r="H38" s="10"/>
      <c r="I38" s="8">
        <f>SUM(I34:I37)</f>
        <v>21430</v>
      </c>
      <c r="J38" s="8"/>
    </row>
    <row r="39" spans="1:10" x14ac:dyDescent="0.15">
      <c r="A39" s="3"/>
      <c r="B39" s="12"/>
      <c r="C39" s="12"/>
      <c r="D39" s="12"/>
      <c r="E39" s="6"/>
      <c r="F39" s="2"/>
      <c r="G39" s="9"/>
      <c r="H39" s="10"/>
      <c r="I39" s="8"/>
      <c r="J39" s="8"/>
    </row>
    <row r="40" spans="1:10" x14ac:dyDescent="0.15">
      <c r="A40" s="3">
        <v>7</v>
      </c>
      <c r="B40" s="12">
        <v>1</v>
      </c>
      <c r="C40" s="12">
        <v>7</v>
      </c>
      <c r="D40" s="12">
        <v>3</v>
      </c>
      <c r="E40" s="6" t="s">
        <v>455</v>
      </c>
      <c r="F40" s="2">
        <v>6</v>
      </c>
      <c r="G40" s="9" t="s">
        <v>418</v>
      </c>
      <c r="H40" s="10"/>
      <c r="I40" s="8">
        <v>1451</v>
      </c>
      <c r="J40" s="8"/>
    </row>
    <row r="41" spans="1:10" x14ac:dyDescent="0.15">
      <c r="A41" s="3">
        <v>16</v>
      </c>
      <c r="B41" s="12">
        <v>1</v>
      </c>
      <c r="C41" s="12">
        <v>7</v>
      </c>
      <c r="D41" s="12">
        <v>7</v>
      </c>
      <c r="E41" s="6" t="s">
        <v>456</v>
      </c>
      <c r="F41" s="2">
        <v>6</v>
      </c>
      <c r="G41" s="9" t="s">
        <v>165</v>
      </c>
      <c r="H41" s="10"/>
      <c r="I41" s="8">
        <v>2000</v>
      </c>
      <c r="J41" s="8"/>
    </row>
    <row r="42" spans="1:10" x14ac:dyDescent="0.15">
      <c r="A42" s="3">
        <v>18</v>
      </c>
      <c r="B42" s="12">
        <v>1</v>
      </c>
      <c r="C42" s="12">
        <v>7</v>
      </c>
      <c r="D42" s="12">
        <v>8</v>
      </c>
      <c r="E42" s="6" t="s">
        <v>457</v>
      </c>
      <c r="F42" s="2">
        <v>6</v>
      </c>
      <c r="G42" s="9" t="s">
        <v>458</v>
      </c>
      <c r="H42" s="10"/>
      <c r="I42" s="8">
        <v>214</v>
      </c>
      <c r="J42" s="8"/>
    </row>
    <row r="43" spans="1:10" x14ac:dyDescent="0.15">
      <c r="A43" s="3">
        <v>19</v>
      </c>
      <c r="B43" s="12">
        <v>1</v>
      </c>
      <c r="C43" s="12">
        <v>7</v>
      </c>
      <c r="D43" s="12">
        <v>8</v>
      </c>
      <c r="E43" s="6" t="s">
        <v>459</v>
      </c>
      <c r="F43" s="2">
        <v>6</v>
      </c>
      <c r="G43" s="9" t="s">
        <v>460</v>
      </c>
      <c r="H43" s="10"/>
      <c r="I43" s="8">
        <v>6264</v>
      </c>
      <c r="J43" s="8"/>
    </row>
    <row r="44" spans="1:10" x14ac:dyDescent="0.15">
      <c r="A44" s="3">
        <v>20</v>
      </c>
      <c r="B44" s="12">
        <v>1</v>
      </c>
      <c r="C44" s="12">
        <v>7</v>
      </c>
      <c r="D44" s="12">
        <v>8</v>
      </c>
      <c r="E44" s="6" t="s">
        <v>461</v>
      </c>
      <c r="F44" s="2">
        <v>6</v>
      </c>
      <c r="G44" s="9" t="s">
        <v>462</v>
      </c>
      <c r="H44" s="10"/>
      <c r="I44" s="8">
        <v>3000</v>
      </c>
      <c r="J44" s="8"/>
    </row>
    <row r="45" spans="1:10" x14ac:dyDescent="0.15">
      <c r="A45" s="3">
        <v>23</v>
      </c>
      <c r="B45" s="12">
        <v>1</v>
      </c>
      <c r="C45" s="12">
        <v>7</v>
      </c>
      <c r="D45" s="12">
        <v>9</v>
      </c>
      <c r="E45" s="6" t="s">
        <v>463</v>
      </c>
      <c r="F45" s="2">
        <v>6</v>
      </c>
      <c r="G45" s="9" t="s">
        <v>167</v>
      </c>
      <c r="H45" s="10"/>
      <c r="I45" s="8">
        <v>2700</v>
      </c>
      <c r="J45" s="8"/>
    </row>
    <row r="46" spans="1:10" x14ac:dyDescent="0.15">
      <c r="A46" s="3">
        <v>24</v>
      </c>
      <c r="B46" s="12">
        <v>1</v>
      </c>
      <c r="C46" s="12">
        <v>7</v>
      </c>
      <c r="D46" s="12">
        <v>9</v>
      </c>
      <c r="E46" s="6" t="s">
        <v>464</v>
      </c>
      <c r="F46" s="2">
        <v>6</v>
      </c>
      <c r="G46" s="9" t="s">
        <v>160</v>
      </c>
      <c r="H46" s="10"/>
      <c r="I46" s="8">
        <v>1844</v>
      </c>
      <c r="J46" s="8"/>
    </row>
    <row r="47" spans="1:10" x14ac:dyDescent="0.15">
      <c r="A47" s="3">
        <v>25</v>
      </c>
      <c r="B47" s="12">
        <v>1</v>
      </c>
      <c r="C47" s="12">
        <v>7</v>
      </c>
      <c r="D47" s="12">
        <v>10</v>
      </c>
      <c r="E47" s="6" t="s">
        <v>465</v>
      </c>
      <c r="F47" s="2">
        <v>6</v>
      </c>
      <c r="G47" s="9" t="s">
        <v>466</v>
      </c>
      <c r="H47" s="10"/>
      <c r="I47" s="8">
        <v>11520</v>
      </c>
      <c r="J47" s="8"/>
    </row>
    <row r="48" spans="1:10" x14ac:dyDescent="0.15">
      <c r="A48" s="3">
        <v>26</v>
      </c>
      <c r="B48" s="12">
        <v>1</v>
      </c>
      <c r="C48" s="12">
        <v>7</v>
      </c>
      <c r="D48" s="12">
        <v>10</v>
      </c>
      <c r="E48" s="6" t="s">
        <v>467</v>
      </c>
      <c r="F48" s="2">
        <v>6</v>
      </c>
      <c r="G48" s="9" t="s">
        <v>155</v>
      </c>
      <c r="H48" s="10"/>
      <c r="I48" s="8">
        <v>1698</v>
      </c>
      <c r="J48" s="8"/>
    </row>
    <row r="49" spans="1:10" x14ac:dyDescent="0.15">
      <c r="A49" s="3">
        <v>27</v>
      </c>
      <c r="B49" s="12">
        <v>1</v>
      </c>
      <c r="C49" s="12">
        <v>7</v>
      </c>
      <c r="D49" s="12">
        <v>11</v>
      </c>
      <c r="E49" s="6" t="s">
        <v>468</v>
      </c>
      <c r="F49" s="2">
        <v>6</v>
      </c>
      <c r="G49" s="9" t="s">
        <v>30</v>
      </c>
      <c r="H49" s="10"/>
      <c r="I49" s="8">
        <v>3240</v>
      </c>
      <c r="J49" s="8"/>
    </row>
    <row r="50" spans="1:10" x14ac:dyDescent="0.15">
      <c r="A50" s="3">
        <v>30</v>
      </c>
      <c r="B50" s="12">
        <v>1</v>
      </c>
      <c r="C50" s="12">
        <v>7</v>
      </c>
      <c r="D50" s="12">
        <v>14</v>
      </c>
      <c r="E50" s="6" t="s">
        <v>469</v>
      </c>
      <c r="F50" s="2">
        <v>6</v>
      </c>
      <c r="G50" s="9" t="s">
        <v>421</v>
      </c>
      <c r="H50" s="10"/>
      <c r="I50" s="8">
        <v>611</v>
      </c>
      <c r="J50" s="8"/>
    </row>
    <row r="51" spans="1:10" x14ac:dyDescent="0.15">
      <c r="A51" s="3">
        <v>31</v>
      </c>
      <c r="B51" s="12">
        <v>1</v>
      </c>
      <c r="C51" s="12">
        <v>7</v>
      </c>
      <c r="D51" s="12">
        <v>14</v>
      </c>
      <c r="E51" s="6" t="s">
        <v>470</v>
      </c>
      <c r="F51" s="2">
        <v>6</v>
      </c>
      <c r="G51" s="9" t="s">
        <v>31</v>
      </c>
      <c r="H51" s="10"/>
      <c r="I51" s="8">
        <v>49271</v>
      </c>
      <c r="J51" s="8"/>
    </row>
    <row r="52" spans="1:10" x14ac:dyDescent="0.15">
      <c r="A52" s="3">
        <v>33</v>
      </c>
      <c r="B52" s="12">
        <v>1</v>
      </c>
      <c r="C52" s="12">
        <v>7</v>
      </c>
      <c r="D52" s="12">
        <v>16</v>
      </c>
      <c r="E52" s="6" t="s">
        <v>471</v>
      </c>
      <c r="F52" s="2">
        <v>6</v>
      </c>
      <c r="G52" s="9" t="s">
        <v>160</v>
      </c>
      <c r="H52" s="10"/>
      <c r="I52" s="8">
        <v>2306</v>
      </c>
      <c r="J52" s="8"/>
    </row>
    <row r="53" spans="1:10" x14ac:dyDescent="0.15">
      <c r="A53" s="3">
        <v>36</v>
      </c>
      <c r="B53" s="12">
        <v>1</v>
      </c>
      <c r="C53" s="12">
        <v>7</v>
      </c>
      <c r="D53" s="12">
        <v>19</v>
      </c>
      <c r="E53" s="6" t="s">
        <v>472</v>
      </c>
      <c r="F53" s="2">
        <v>6</v>
      </c>
      <c r="G53" s="9" t="s">
        <v>421</v>
      </c>
      <c r="H53" s="10"/>
      <c r="I53" s="8">
        <v>1557</v>
      </c>
      <c r="J53" s="8"/>
    </row>
    <row r="54" spans="1:10" x14ac:dyDescent="0.15">
      <c r="A54" s="3">
        <v>49</v>
      </c>
      <c r="B54" s="12">
        <v>1</v>
      </c>
      <c r="C54" s="12">
        <v>7</v>
      </c>
      <c r="D54" s="12">
        <v>20</v>
      </c>
      <c r="E54" s="6" t="s">
        <v>473</v>
      </c>
      <c r="F54" s="2">
        <v>6</v>
      </c>
      <c r="G54" s="9" t="s">
        <v>146</v>
      </c>
      <c r="H54" s="10"/>
      <c r="I54" s="8">
        <v>358</v>
      </c>
      <c r="J54" s="8"/>
    </row>
    <row r="55" spans="1:10" x14ac:dyDescent="0.15">
      <c r="A55" s="3">
        <v>60</v>
      </c>
      <c r="B55" s="12">
        <v>1</v>
      </c>
      <c r="C55" s="12">
        <v>7</v>
      </c>
      <c r="D55" s="12">
        <v>22</v>
      </c>
      <c r="E55" s="6" t="s">
        <v>474</v>
      </c>
      <c r="F55" s="2">
        <v>6</v>
      </c>
      <c r="G55" s="9" t="s">
        <v>205</v>
      </c>
      <c r="H55" s="10"/>
      <c r="I55" s="8">
        <v>740</v>
      </c>
      <c r="J55" s="8"/>
    </row>
    <row r="56" spans="1:10" x14ac:dyDescent="0.15">
      <c r="A56" s="3">
        <v>77</v>
      </c>
      <c r="B56" s="12">
        <v>1</v>
      </c>
      <c r="C56" s="12">
        <v>7</v>
      </c>
      <c r="D56" s="12">
        <v>27</v>
      </c>
      <c r="E56" s="6" t="s">
        <v>475</v>
      </c>
      <c r="F56" s="2">
        <v>6</v>
      </c>
      <c r="G56" s="9" t="s">
        <v>160</v>
      </c>
      <c r="H56" s="10"/>
      <c r="I56" s="8">
        <v>210</v>
      </c>
      <c r="J56" s="8"/>
    </row>
    <row r="57" spans="1:10" x14ac:dyDescent="0.15">
      <c r="A57" s="3"/>
      <c r="B57" s="12"/>
      <c r="C57" s="12"/>
      <c r="D57" s="12"/>
      <c r="E57" s="6"/>
      <c r="F57" s="2"/>
      <c r="G57" s="219" t="s">
        <v>443</v>
      </c>
      <c r="H57" s="10"/>
      <c r="I57" s="8">
        <f>SUM(I40:I56)</f>
        <v>88984</v>
      </c>
      <c r="J57" s="8"/>
    </row>
    <row r="58" spans="1:10" x14ac:dyDescent="0.15">
      <c r="A58" s="3"/>
      <c r="B58" s="12"/>
      <c r="C58" s="12"/>
      <c r="D58" s="12"/>
      <c r="E58" s="6"/>
      <c r="F58" s="2"/>
      <c r="G58" s="9"/>
      <c r="H58" s="10"/>
      <c r="I58" s="8"/>
      <c r="J58" s="8"/>
    </row>
    <row r="59" spans="1:10" x14ac:dyDescent="0.15">
      <c r="A59" s="3">
        <v>1</v>
      </c>
      <c r="B59" s="12">
        <v>1</v>
      </c>
      <c r="C59" s="12">
        <v>5</v>
      </c>
      <c r="D59" s="12">
        <v>4</v>
      </c>
      <c r="E59" s="6" t="s">
        <v>476</v>
      </c>
      <c r="F59" s="2">
        <v>7</v>
      </c>
      <c r="G59" s="9" t="s">
        <v>477</v>
      </c>
      <c r="H59" s="10"/>
      <c r="I59" s="8">
        <v>8000</v>
      </c>
      <c r="J59" s="8"/>
    </row>
    <row r="60" spans="1:10" x14ac:dyDescent="0.15">
      <c r="A60" s="3">
        <v>3</v>
      </c>
      <c r="B60" s="12">
        <v>1</v>
      </c>
      <c r="C60" s="12">
        <v>6</v>
      </c>
      <c r="D60" s="12">
        <v>27</v>
      </c>
      <c r="E60" s="6" t="s">
        <v>478</v>
      </c>
      <c r="F60" s="2">
        <v>7</v>
      </c>
      <c r="G60" s="9" t="s">
        <v>431</v>
      </c>
      <c r="H60" s="10"/>
      <c r="I60" s="8">
        <v>864</v>
      </c>
      <c r="J60" s="8"/>
    </row>
    <row r="61" spans="1:10" x14ac:dyDescent="0.15">
      <c r="A61" s="3">
        <v>4</v>
      </c>
      <c r="B61" s="12">
        <v>1</v>
      </c>
      <c r="C61" s="12">
        <v>6</v>
      </c>
      <c r="D61" s="12">
        <v>28</v>
      </c>
      <c r="E61" s="6" t="s">
        <v>479</v>
      </c>
      <c r="F61" s="2">
        <v>7</v>
      </c>
      <c r="G61" s="9" t="s">
        <v>480</v>
      </c>
      <c r="H61" s="10"/>
      <c r="I61" s="8">
        <v>9256</v>
      </c>
      <c r="J61" s="8"/>
    </row>
    <row r="62" spans="1:10" x14ac:dyDescent="0.15">
      <c r="A62" s="3">
        <v>5</v>
      </c>
      <c r="B62" s="12">
        <v>1</v>
      </c>
      <c r="C62" s="12">
        <v>6</v>
      </c>
      <c r="D62" s="12">
        <v>28</v>
      </c>
      <c r="E62" s="6" t="s">
        <v>481</v>
      </c>
      <c r="F62" s="2">
        <v>7</v>
      </c>
      <c r="G62" s="9" t="s">
        <v>203</v>
      </c>
      <c r="H62" s="10"/>
      <c r="I62" s="8">
        <v>5978</v>
      </c>
      <c r="J62" s="8"/>
    </row>
    <row r="63" spans="1:10" x14ac:dyDescent="0.15">
      <c r="A63" s="3">
        <v>8</v>
      </c>
      <c r="B63" s="12">
        <v>1</v>
      </c>
      <c r="C63" s="12">
        <v>7</v>
      </c>
      <c r="D63" s="12">
        <v>3</v>
      </c>
      <c r="E63" s="6" t="s">
        <v>482</v>
      </c>
      <c r="F63" s="2">
        <v>7</v>
      </c>
      <c r="G63" s="9" t="s">
        <v>418</v>
      </c>
      <c r="H63" s="10"/>
      <c r="I63" s="8">
        <v>419</v>
      </c>
      <c r="J63" s="8"/>
    </row>
    <row r="64" spans="1:10" x14ac:dyDescent="0.15">
      <c r="A64" s="3">
        <v>12</v>
      </c>
      <c r="B64" s="12">
        <v>1</v>
      </c>
      <c r="C64" s="12">
        <v>7</v>
      </c>
      <c r="D64" s="12">
        <v>3</v>
      </c>
      <c r="E64" s="6" t="s">
        <v>483</v>
      </c>
      <c r="F64" s="2">
        <v>7</v>
      </c>
      <c r="G64" s="9" t="s">
        <v>418</v>
      </c>
      <c r="H64" s="10"/>
      <c r="I64" s="8">
        <v>2016</v>
      </c>
      <c r="J64" s="8"/>
    </row>
    <row r="65" spans="1:10" x14ac:dyDescent="0.15">
      <c r="A65" s="3">
        <v>15</v>
      </c>
      <c r="B65" s="12">
        <v>1</v>
      </c>
      <c r="C65" s="12">
        <v>7</v>
      </c>
      <c r="D65" s="12">
        <v>7</v>
      </c>
      <c r="E65" s="6" t="s">
        <v>484</v>
      </c>
      <c r="F65" s="2">
        <v>7</v>
      </c>
      <c r="G65" s="9" t="s">
        <v>146</v>
      </c>
      <c r="H65" s="10"/>
      <c r="I65" s="8">
        <v>12257</v>
      </c>
      <c r="J65" s="8"/>
    </row>
    <row r="66" spans="1:10" x14ac:dyDescent="0.15">
      <c r="A66" s="3">
        <v>29</v>
      </c>
      <c r="B66" s="12">
        <v>1</v>
      </c>
      <c r="C66" s="12">
        <v>7</v>
      </c>
      <c r="D66" s="12">
        <v>14</v>
      </c>
      <c r="E66" s="6" t="s">
        <v>485</v>
      </c>
      <c r="F66" s="2">
        <v>7</v>
      </c>
      <c r="G66" s="9" t="s">
        <v>146</v>
      </c>
      <c r="H66" s="10"/>
      <c r="I66" s="8">
        <v>12912</v>
      </c>
      <c r="J66" s="8"/>
    </row>
    <row r="67" spans="1:10" x14ac:dyDescent="0.15">
      <c r="A67" s="3">
        <v>37</v>
      </c>
      <c r="B67" s="12">
        <v>1</v>
      </c>
      <c r="C67" s="12">
        <v>7</v>
      </c>
      <c r="D67" s="12">
        <v>19</v>
      </c>
      <c r="E67" s="7" t="s">
        <v>486</v>
      </c>
      <c r="F67" s="19">
        <v>7</v>
      </c>
      <c r="G67" s="4" t="s">
        <v>135</v>
      </c>
      <c r="H67" s="8"/>
      <c r="I67" s="8">
        <v>10000</v>
      </c>
      <c r="J67" s="8"/>
    </row>
    <row r="68" spans="1:10" x14ac:dyDescent="0.15">
      <c r="A68" s="3">
        <v>47</v>
      </c>
      <c r="B68" s="12">
        <v>1</v>
      </c>
      <c r="C68" s="12">
        <v>7</v>
      </c>
      <c r="D68" s="12">
        <v>20</v>
      </c>
      <c r="E68" s="6" t="s">
        <v>487</v>
      </c>
      <c r="F68" s="2">
        <v>7</v>
      </c>
      <c r="G68" s="9" t="s">
        <v>462</v>
      </c>
      <c r="H68" s="10"/>
      <c r="I68" s="8">
        <v>36000</v>
      </c>
      <c r="J68" s="8"/>
    </row>
    <row r="69" spans="1:10" x14ac:dyDescent="0.15">
      <c r="A69" s="41">
        <v>81</v>
      </c>
      <c r="B69" s="41">
        <v>2</v>
      </c>
      <c r="C69" s="41">
        <v>2</v>
      </c>
      <c r="D69" s="41">
        <v>22</v>
      </c>
      <c r="E69" s="37" t="s">
        <v>488</v>
      </c>
      <c r="F69" s="38">
        <v>7</v>
      </c>
      <c r="G69" s="39" t="s">
        <v>489</v>
      </c>
      <c r="H69" s="221"/>
      <c r="I69" s="70">
        <v>11275</v>
      </c>
      <c r="J69" s="70"/>
    </row>
    <row r="70" spans="1:10" x14ac:dyDescent="0.15">
      <c r="A70" s="3"/>
      <c r="B70" s="12"/>
      <c r="C70" s="12"/>
      <c r="D70" s="12"/>
      <c r="E70" s="6"/>
      <c r="F70" s="2"/>
      <c r="G70" s="219" t="s">
        <v>443</v>
      </c>
      <c r="H70" s="10"/>
      <c r="I70" s="8">
        <f>SUM(I59:I69)</f>
        <v>108977</v>
      </c>
      <c r="J70" s="8"/>
    </row>
    <row r="71" spans="1:10" x14ac:dyDescent="0.15">
      <c r="A71" s="3"/>
      <c r="B71" s="12"/>
      <c r="C71" s="12"/>
      <c r="D71" s="12"/>
      <c r="E71" s="6"/>
      <c r="F71" s="2"/>
      <c r="G71" s="9"/>
      <c r="H71" s="10"/>
      <c r="I71" s="8"/>
      <c r="J71" s="8"/>
    </row>
    <row r="72" spans="1:10" x14ac:dyDescent="0.15">
      <c r="A72" s="3">
        <v>17</v>
      </c>
      <c r="B72" s="12">
        <v>1</v>
      </c>
      <c r="C72" s="12">
        <v>7</v>
      </c>
      <c r="D72" s="12">
        <v>7</v>
      </c>
      <c r="E72" s="6" t="s">
        <v>490</v>
      </c>
      <c r="F72" s="2">
        <v>9</v>
      </c>
      <c r="G72" s="9" t="s">
        <v>491</v>
      </c>
      <c r="H72" s="10"/>
      <c r="I72" s="8">
        <v>3500</v>
      </c>
      <c r="J72" s="8"/>
    </row>
    <row r="73" spans="1:10" x14ac:dyDescent="0.15">
      <c r="A73" s="3">
        <v>38</v>
      </c>
      <c r="B73" s="12">
        <v>1</v>
      </c>
      <c r="C73" s="12">
        <v>7</v>
      </c>
      <c r="D73" s="12">
        <v>20</v>
      </c>
      <c r="E73" s="6" t="s">
        <v>492</v>
      </c>
      <c r="F73" s="2">
        <v>9</v>
      </c>
      <c r="G73" s="9" t="s">
        <v>155</v>
      </c>
      <c r="H73" s="10"/>
      <c r="I73" s="8">
        <v>4956</v>
      </c>
      <c r="J73" s="8"/>
    </row>
    <row r="74" spans="1:10" x14ac:dyDescent="0.15">
      <c r="A74" s="3"/>
      <c r="B74" s="12"/>
      <c r="C74" s="12"/>
      <c r="D74" s="12"/>
      <c r="E74" s="6"/>
      <c r="F74" s="2"/>
      <c r="G74" s="219" t="s">
        <v>443</v>
      </c>
      <c r="H74" s="10"/>
      <c r="I74" s="8">
        <f>SUM(I72:I73)</f>
        <v>8456</v>
      </c>
      <c r="J74" s="8"/>
    </row>
    <row r="75" spans="1:10" x14ac:dyDescent="0.15">
      <c r="A75" s="3"/>
      <c r="B75" s="12"/>
      <c r="C75" s="12"/>
      <c r="D75" s="12"/>
      <c r="E75" s="6"/>
      <c r="F75" s="2"/>
      <c r="G75" s="9"/>
      <c r="H75" s="10"/>
      <c r="I75" s="8"/>
      <c r="J75" s="8"/>
    </row>
    <row r="76" spans="1:10" x14ac:dyDescent="0.15">
      <c r="A76" s="3">
        <v>6</v>
      </c>
      <c r="B76" s="12">
        <v>1</v>
      </c>
      <c r="C76" s="12">
        <v>7</v>
      </c>
      <c r="D76" s="12">
        <v>1</v>
      </c>
      <c r="E76" s="6" t="s">
        <v>493</v>
      </c>
      <c r="F76" s="2">
        <v>10</v>
      </c>
      <c r="G76" s="9" t="s">
        <v>494</v>
      </c>
      <c r="H76" s="10"/>
      <c r="I76" s="8">
        <v>33600</v>
      </c>
      <c r="J76" s="8"/>
    </row>
    <row r="77" spans="1:10" x14ac:dyDescent="0.15">
      <c r="A77" s="3">
        <v>32</v>
      </c>
      <c r="B77" s="12">
        <v>1</v>
      </c>
      <c r="C77" s="12">
        <v>7</v>
      </c>
      <c r="D77" s="12">
        <v>14</v>
      </c>
      <c r="E77" s="6" t="s">
        <v>495</v>
      </c>
      <c r="F77" s="2">
        <v>10</v>
      </c>
      <c r="G77" s="9" t="s">
        <v>31</v>
      </c>
      <c r="H77" s="10"/>
      <c r="I77" s="8">
        <v>24400</v>
      </c>
      <c r="J77" s="8"/>
    </row>
    <row r="78" spans="1:10" x14ac:dyDescent="0.15">
      <c r="A78" s="3"/>
      <c r="B78" s="12"/>
      <c r="C78" s="12"/>
      <c r="D78" s="12"/>
      <c r="E78" s="6"/>
      <c r="F78" s="2"/>
      <c r="G78" s="219" t="s">
        <v>443</v>
      </c>
      <c r="H78" s="10"/>
      <c r="I78" s="8">
        <f>SUM(I76:I77)</f>
        <v>58000</v>
      </c>
      <c r="J78" s="8"/>
    </row>
    <row r="79" spans="1:10" x14ac:dyDescent="0.15">
      <c r="A79" s="3"/>
      <c r="B79" s="12"/>
      <c r="C79" s="12"/>
      <c r="D79" s="12"/>
      <c r="E79" s="6"/>
      <c r="F79" s="2"/>
      <c r="G79" s="9"/>
      <c r="H79" s="10"/>
      <c r="I79" s="8"/>
      <c r="J79" s="8"/>
    </row>
    <row r="80" spans="1:10" x14ac:dyDescent="0.15">
      <c r="A80" s="3">
        <v>13</v>
      </c>
      <c r="B80" s="12">
        <v>1</v>
      </c>
      <c r="C80" s="12">
        <v>7</v>
      </c>
      <c r="D80" s="12">
        <v>3</v>
      </c>
      <c r="E80" s="6" t="s">
        <v>496</v>
      </c>
      <c r="F80" s="2">
        <v>11</v>
      </c>
      <c r="G80" s="9" t="s">
        <v>176</v>
      </c>
      <c r="H80" s="10"/>
      <c r="I80" s="8">
        <v>1000</v>
      </c>
      <c r="J80" s="8"/>
    </row>
    <row r="81" spans="1:10" x14ac:dyDescent="0.15">
      <c r="A81" s="3">
        <v>22</v>
      </c>
      <c r="B81" s="12">
        <v>1</v>
      </c>
      <c r="C81" s="12">
        <v>7</v>
      </c>
      <c r="D81" s="12">
        <v>9</v>
      </c>
      <c r="E81" s="7" t="s">
        <v>497</v>
      </c>
      <c r="F81" s="19">
        <v>11</v>
      </c>
      <c r="G81" s="4" t="s">
        <v>498</v>
      </c>
      <c r="H81" s="8"/>
      <c r="I81" s="8">
        <v>2000</v>
      </c>
      <c r="J81" s="8"/>
    </row>
    <row r="82" spans="1:10" x14ac:dyDescent="0.15">
      <c r="A82" s="3">
        <v>42</v>
      </c>
      <c r="B82" s="12">
        <v>1</v>
      </c>
      <c r="C82" s="12">
        <v>7</v>
      </c>
      <c r="D82" s="12">
        <v>20</v>
      </c>
      <c r="E82" s="6" t="s">
        <v>499</v>
      </c>
      <c r="F82" s="2">
        <v>11</v>
      </c>
      <c r="G82" s="9" t="s">
        <v>146</v>
      </c>
      <c r="H82" s="10"/>
      <c r="I82" s="8">
        <v>140</v>
      </c>
      <c r="J82" s="8"/>
    </row>
    <row r="83" spans="1:10" x14ac:dyDescent="0.15">
      <c r="A83" s="3">
        <v>50</v>
      </c>
      <c r="B83" s="12">
        <v>1</v>
      </c>
      <c r="C83" s="12">
        <v>7</v>
      </c>
      <c r="D83" s="12">
        <v>20</v>
      </c>
      <c r="E83" s="6" t="s">
        <v>500</v>
      </c>
      <c r="F83" s="2">
        <v>11</v>
      </c>
      <c r="G83" s="9" t="s">
        <v>501</v>
      </c>
      <c r="H83" s="10"/>
      <c r="I83" s="8">
        <v>800</v>
      </c>
      <c r="J83" s="8"/>
    </row>
    <row r="84" spans="1:10" x14ac:dyDescent="0.15">
      <c r="A84" s="3">
        <v>57</v>
      </c>
      <c r="B84" s="12">
        <v>1</v>
      </c>
      <c r="C84" s="12">
        <v>7</v>
      </c>
      <c r="D84" s="12">
        <v>22</v>
      </c>
      <c r="E84" s="6" t="s">
        <v>502</v>
      </c>
      <c r="F84" s="2">
        <v>11</v>
      </c>
      <c r="G84" s="9" t="s">
        <v>503</v>
      </c>
      <c r="H84" s="10"/>
      <c r="I84" s="8">
        <v>5000</v>
      </c>
      <c r="J84" s="8"/>
    </row>
    <row r="85" spans="1:10" x14ac:dyDescent="0.15">
      <c r="A85" s="41">
        <v>58</v>
      </c>
      <c r="B85" s="41">
        <v>1</v>
      </c>
      <c r="C85" s="41">
        <v>7</v>
      </c>
      <c r="D85" s="41">
        <v>22</v>
      </c>
      <c r="E85" s="105" t="s">
        <v>504</v>
      </c>
      <c r="F85" s="222">
        <v>11</v>
      </c>
      <c r="G85" s="106" t="s">
        <v>505</v>
      </c>
      <c r="H85" s="70"/>
      <c r="I85" s="70">
        <v>1058</v>
      </c>
      <c r="J85" s="70"/>
    </row>
    <row r="86" spans="1:10" x14ac:dyDescent="0.15">
      <c r="A86" s="3">
        <v>59</v>
      </c>
      <c r="B86" s="12">
        <v>1</v>
      </c>
      <c r="C86" s="12">
        <v>7</v>
      </c>
      <c r="D86" s="12">
        <v>22</v>
      </c>
      <c r="E86" s="6" t="s">
        <v>506</v>
      </c>
      <c r="F86" s="2">
        <v>11</v>
      </c>
      <c r="G86" s="9" t="s">
        <v>137</v>
      </c>
      <c r="H86" s="10"/>
      <c r="I86" s="8">
        <v>2700</v>
      </c>
      <c r="J86" s="8"/>
    </row>
    <row r="87" spans="1:10" x14ac:dyDescent="0.15">
      <c r="A87" s="3"/>
      <c r="B87" s="12"/>
      <c r="C87" s="12"/>
      <c r="D87" s="12"/>
      <c r="E87" s="6"/>
      <c r="F87" s="2"/>
      <c r="G87" s="219" t="s">
        <v>443</v>
      </c>
      <c r="H87" s="10"/>
      <c r="I87" s="8">
        <f>SUM(I80:I86)</f>
        <v>12698</v>
      </c>
      <c r="J87" s="8"/>
    </row>
    <row r="88" spans="1:10" x14ac:dyDescent="0.15">
      <c r="A88" s="3"/>
      <c r="B88" s="12"/>
      <c r="C88" s="12"/>
      <c r="D88" s="12"/>
      <c r="E88" s="6"/>
      <c r="F88" s="2"/>
      <c r="G88" s="9"/>
      <c r="H88" s="10"/>
      <c r="I88" s="8"/>
      <c r="J88" s="8"/>
    </row>
    <row r="89" spans="1:10" x14ac:dyDescent="0.15">
      <c r="A89" s="3">
        <v>55</v>
      </c>
      <c r="B89" s="12">
        <v>1</v>
      </c>
      <c r="C89" s="12">
        <v>7</v>
      </c>
      <c r="D89" s="12">
        <v>21</v>
      </c>
      <c r="E89" s="6" t="s">
        <v>507</v>
      </c>
      <c r="F89" s="2">
        <v>12</v>
      </c>
      <c r="G89" s="9" t="s">
        <v>508</v>
      </c>
      <c r="H89" s="10"/>
      <c r="I89" s="8">
        <v>80000</v>
      </c>
      <c r="J89" s="8"/>
    </row>
    <row r="90" spans="1:10" x14ac:dyDescent="0.15">
      <c r="A90" s="3">
        <v>56</v>
      </c>
      <c r="B90" s="12">
        <v>1</v>
      </c>
      <c r="C90" s="12">
        <v>7</v>
      </c>
      <c r="D90" s="12">
        <v>21</v>
      </c>
      <c r="E90" s="6" t="s">
        <v>507</v>
      </c>
      <c r="F90" s="2">
        <v>12</v>
      </c>
      <c r="G90" s="9" t="s">
        <v>509</v>
      </c>
      <c r="H90" s="10"/>
      <c r="I90" s="8">
        <v>80000</v>
      </c>
      <c r="J90" s="8"/>
    </row>
    <row r="91" spans="1:10" x14ac:dyDescent="0.15">
      <c r="A91" s="3"/>
      <c r="B91" s="12"/>
      <c r="C91" s="12"/>
      <c r="D91" s="12"/>
      <c r="E91" s="6"/>
      <c r="F91" s="2"/>
      <c r="G91" s="219" t="s">
        <v>443</v>
      </c>
      <c r="H91" s="10"/>
      <c r="I91" s="8">
        <f>SUM(I89:I90)</f>
        <v>160000</v>
      </c>
      <c r="J91" s="8"/>
    </row>
    <row r="92" spans="1:10" x14ac:dyDescent="0.15">
      <c r="A92" s="3"/>
      <c r="B92" s="12"/>
      <c r="C92" s="12"/>
      <c r="D92" s="12"/>
      <c r="E92" s="6"/>
      <c r="F92" s="2"/>
      <c r="G92" s="9"/>
      <c r="H92" s="10"/>
      <c r="I92" s="8"/>
      <c r="J92" s="8"/>
    </row>
    <row r="93" spans="1:10" x14ac:dyDescent="0.15">
      <c r="A93" s="3">
        <v>79</v>
      </c>
      <c r="B93" s="12">
        <v>1</v>
      </c>
      <c r="C93" s="12">
        <v>8</v>
      </c>
      <c r="D93" s="12">
        <v>5</v>
      </c>
      <c r="E93" s="6" t="s">
        <v>510</v>
      </c>
      <c r="F93" s="2">
        <v>13</v>
      </c>
      <c r="G93" s="9" t="s">
        <v>511</v>
      </c>
      <c r="H93" s="10"/>
      <c r="I93" s="8">
        <v>37421</v>
      </c>
      <c r="J93" s="8"/>
    </row>
    <row r="94" spans="1:10" x14ac:dyDescent="0.15">
      <c r="A94" s="3"/>
      <c r="B94" s="12"/>
      <c r="C94" s="12"/>
      <c r="D94" s="12"/>
      <c r="E94" s="6"/>
      <c r="F94" s="2"/>
      <c r="G94" s="9"/>
      <c r="H94" s="10"/>
      <c r="I94" s="8"/>
      <c r="J94" s="8"/>
    </row>
    <row r="95" spans="1:10" x14ac:dyDescent="0.15">
      <c r="A95" s="3">
        <v>21</v>
      </c>
      <c r="B95" s="12">
        <v>1</v>
      </c>
      <c r="C95" s="12">
        <v>7</v>
      </c>
      <c r="D95" s="12">
        <v>8</v>
      </c>
      <c r="E95" s="6" t="s">
        <v>512</v>
      </c>
      <c r="F95" s="2">
        <v>14</v>
      </c>
      <c r="G95" s="9" t="s">
        <v>203</v>
      </c>
      <c r="H95" s="10"/>
      <c r="I95" s="8">
        <v>8460</v>
      </c>
      <c r="J95" s="8"/>
    </row>
    <row r="96" spans="1:10" x14ac:dyDescent="0.15">
      <c r="A96" s="3">
        <v>66</v>
      </c>
      <c r="B96" s="12">
        <v>1</v>
      </c>
      <c r="C96" s="12">
        <v>7</v>
      </c>
      <c r="D96" s="12">
        <v>24</v>
      </c>
      <c r="E96" s="6" t="s">
        <v>513</v>
      </c>
      <c r="F96" s="2">
        <v>14</v>
      </c>
      <c r="G96" s="9" t="s">
        <v>203</v>
      </c>
      <c r="H96" s="10"/>
      <c r="I96" s="8">
        <v>12011</v>
      </c>
      <c r="J96" s="8"/>
    </row>
    <row r="97" spans="1:10" x14ac:dyDescent="0.15">
      <c r="A97" s="3">
        <v>67</v>
      </c>
      <c r="B97" s="12">
        <v>1</v>
      </c>
      <c r="C97" s="12">
        <v>7</v>
      </c>
      <c r="D97" s="12">
        <v>24</v>
      </c>
      <c r="E97" s="6" t="s">
        <v>514</v>
      </c>
      <c r="F97" s="2">
        <v>14</v>
      </c>
      <c r="G97" s="9" t="s">
        <v>431</v>
      </c>
      <c r="H97" s="10"/>
      <c r="I97" s="8">
        <v>2160</v>
      </c>
      <c r="J97" s="8"/>
    </row>
    <row r="98" spans="1:10" x14ac:dyDescent="0.15">
      <c r="A98" s="3">
        <v>68</v>
      </c>
      <c r="B98" s="12">
        <v>1</v>
      </c>
      <c r="C98" s="12">
        <v>7</v>
      </c>
      <c r="D98" s="12">
        <v>24</v>
      </c>
      <c r="E98" s="6" t="s">
        <v>515</v>
      </c>
      <c r="F98" s="2">
        <v>14</v>
      </c>
      <c r="G98" s="9" t="s">
        <v>146</v>
      </c>
      <c r="H98" s="10"/>
      <c r="I98" s="8">
        <v>149</v>
      </c>
      <c r="J98" s="8"/>
    </row>
    <row r="99" spans="1:10" x14ac:dyDescent="0.15">
      <c r="A99" s="3">
        <v>69</v>
      </c>
      <c r="B99" s="12">
        <v>1</v>
      </c>
      <c r="C99" s="12">
        <v>7</v>
      </c>
      <c r="D99" s="12">
        <v>24</v>
      </c>
      <c r="E99" s="6" t="s">
        <v>516</v>
      </c>
      <c r="F99" s="2">
        <v>14</v>
      </c>
      <c r="G99" s="9" t="s">
        <v>439</v>
      </c>
      <c r="H99" s="10"/>
      <c r="I99" s="8">
        <v>15000</v>
      </c>
      <c r="J99" s="8"/>
    </row>
    <row r="100" spans="1:10" x14ac:dyDescent="0.15">
      <c r="A100" s="3">
        <v>70</v>
      </c>
      <c r="B100" s="12">
        <v>1</v>
      </c>
      <c r="C100" s="12">
        <v>7</v>
      </c>
      <c r="D100" s="12">
        <v>25</v>
      </c>
      <c r="E100" s="6" t="s">
        <v>517</v>
      </c>
      <c r="F100" s="2">
        <v>14</v>
      </c>
      <c r="G100" s="9" t="s">
        <v>418</v>
      </c>
      <c r="H100" s="10"/>
      <c r="I100" s="8">
        <v>1231</v>
      </c>
      <c r="J100" s="8"/>
    </row>
    <row r="101" spans="1:10" x14ac:dyDescent="0.15">
      <c r="A101" s="3">
        <v>71</v>
      </c>
      <c r="B101" s="12">
        <v>1</v>
      </c>
      <c r="C101" s="12">
        <v>7</v>
      </c>
      <c r="D101" s="12">
        <v>25</v>
      </c>
      <c r="E101" s="6" t="s">
        <v>518</v>
      </c>
      <c r="F101" s="2">
        <v>14</v>
      </c>
      <c r="G101" s="9" t="s">
        <v>427</v>
      </c>
      <c r="H101" s="10"/>
      <c r="I101" s="8">
        <v>1979</v>
      </c>
      <c r="J101" s="8"/>
    </row>
    <row r="102" spans="1:10" x14ac:dyDescent="0.15">
      <c r="A102" s="3">
        <v>72</v>
      </c>
      <c r="B102" s="12">
        <v>1</v>
      </c>
      <c r="C102" s="12">
        <v>7</v>
      </c>
      <c r="D102" s="12">
        <v>26</v>
      </c>
      <c r="E102" s="6" t="s">
        <v>519</v>
      </c>
      <c r="F102" s="2">
        <v>14</v>
      </c>
      <c r="G102" s="9" t="s">
        <v>520</v>
      </c>
      <c r="H102" s="10"/>
      <c r="I102" s="8">
        <v>10000</v>
      </c>
      <c r="J102" s="8"/>
    </row>
    <row r="103" spans="1:10" x14ac:dyDescent="0.15">
      <c r="A103" s="3">
        <v>73</v>
      </c>
      <c r="B103" s="12">
        <v>1</v>
      </c>
      <c r="C103" s="12">
        <v>7</v>
      </c>
      <c r="D103" s="12">
        <v>26</v>
      </c>
      <c r="E103" s="6" t="s">
        <v>519</v>
      </c>
      <c r="F103" s="2">
        <v>14</v>
      </c>
      <c r="G103" s="9" t="s">
        <v>135</v>
      </c>
      <c r="H103" s="10"/>
      <c r="I103" s="8">
        <v>10000</v>
      </c>
      <c r="J103" s="8"/>
    </row>
    <row r="104" spans="1:10" x14ac:dyDescent="0.15">
      <c r="A104" s="3">
        <v>74</v>
      </c>
      <c r="B104" s="12">
        <v>1</v>
      </c>
      <c r="C104" s="12">
        <v>7</v>
      </c>
      <c r="D104" s="12">
        <v>26</v>
      </c>
      <c r="E104" s="6" t="s">
        <v>519</v>
      </c>
      <c r="F104" s="2">
        <v>14</v>
      </c>
      <c r="G104" s="9" t="s">
        <v>521</v>
      </c>
      <c r="H104" s="10"/>
      <c r="I104" s="8">
        <v>4750</v>
      </c>
      <c r="J104" s="8"/>
    </row>
    <row r="105" spans="1:10" x14ac:dyDescent="0.15">
      <c r="A105" s="3">
        <v>75</v>
      </c>
      <c r="B105" s="12">
        <v>1</v>
      </c>
      <c r="C105" s="12">
        <v>7</v>
      </c>
      <c r="D105" s="12">
        <v>26</v>
      </c>
      <c r="E105" s="6" t="s">
        <v>519</v>
      </c>
      <c r="F105" s="2">
        <v>14</v>
      </c>
      <c r="G105" s="9" t="s">
        <v>436</v>
      </c>
      <c r="H105" s="10"/>
      <c r="I105" s="8">
        <v>5000</v>
      </c>
      <c r="J105" s="8"/>
    </row>
    <row r="106" spans="1:10" x14ac:dyDescent="0.15">
      <c r="A106" s="41">
        <v>80</v>
      </c>
      <c r="B106" s="41">
        <v>2</v>
      </c>
      <c r="C106" s="41">
        <v>2</v>
      </c>
      <c r="D106" s="41">
        <v>22</v>
      </c>
      <c r="E106" s="37" t="s">
        <v>522</v>
      </c>
      <c r="F106" s="38">
        <v>14</v>
      </c>
      <c r="G106" s="39" t="s">
        <v>489</v>
      </c>
      <c r="H106" s="221"/>
      <c r="I106" s="70">
        <v>22438</v>
      </c>
      <c r="J106" s="70"/>
    </row>
    <row r="107" spans="1:10" x14ac:dyDescent="0.15">
      <c r="A107" s="3"/>
      <c r="B107" s="12"/>
      <c r="C107" s="12"/>
      <c r="D107" s="12"/>
      <c r="E107" s="6"/>
      <c r="F107" s="2"/>
      <c r="G107" s="219" t="s">
        <v>443</v>
      </c>
      <c r="H107" s="10"/>
      <c r="I107" s="8">
        <f>SUM(I95:I106)</f>
        <v>93178</v>
      </c>
      <c r="J107" s="8"/>
    </row>
    <row r="108" spans="1:10" x14ac:dyDescent="0.15">
      <c r="A108" s="3"/>
      <c r="B108" s="12"/>
      <c r="C108" s="12"/>
      <c r="D108" s="12"/>
      <c r="E108" s="6"/>
      <c r="F108" s="2"/>
      <c r="G108" s="9"/>
      <c r="H108" s="10"/>
      <c r="I108" s="8"/>
      <c r="J108" s="8"/>
    </row>
    <row r="109" spans="1:10" x14ac:dyDescent="0.15">
      <c r="A109" s="3" t="s">
        <v>19</v>
      </c>
      <c r="B109" s="12">
        <v>30</v>
      </c>
      <c r="C109" s="12">
        <v>9</v>
      </c>
      <c r="D109" s="12">
        <v>1</v>
      </c>
      <c r="E109" s="7" t="s">
        <v>11</v>
      </c>
      <c r="F109" s="19" t="s">
        <v>12</v>
      </c>
      <c r="G109" s="4" t="s">
        <v>13</v>
      </c>
      <c r="H109" s="8">
        <v>1076061</v>
      </c>
      <c r="I109" s="8"/>
      <c r="J109" s="8"/>
    </row>
    <row r="110" spans="1:10" x14ac:dyDescent="0.15">
      <c r="A110" s="3"/>
      <c r="B110" s="12"/>
      <c r="C110" s="12"/>
      <c r="D110" s="12"/>
      <c r="E110" s="6"/>
      <c r="F110" s="2"/>
      <c r="G110" s="9"/>
      <c r="H110" s="10"/>
      <c r="I110" s="8"/>
      <c r="J110" s="8"/>
    </row>
    <row r="111" spans="1:10" x14ac:dyDescent="0.15">
      <c r="A111" s="21" t="s">
        <v>523</v>
      </c>
      <c r="B111" s="22">
        <v>1</v>
      </c>
      <c r="C111" s="22">
        <v>7</v>
      </c>
      <c r="D111" s="22">
        <v>14</v>
      </c>
      <c r="E111" s="23" t="s">
        <v>524</v>
      </c>
      <c r="F111" s="24" t="s">
        <v>39</v>
      </c>
      <c r="G111" s="25" t="s">
        <v>525</v>
      </c>
      <c r="H111" s="223">
        <v>475000</v>
      </c>
      <c r="I111" s="223"/>
      <c r="J111" s="8"/>
    </row>
    <row r="112" spans="1:10" x14ac:dyDescent="0.15">
      <c r="A112" s="21"/>
      <c r="B112" s="22"/>
      <c r="C112" s="22"/>
      <c r="D112" s="22"/>
      <c r="E112" s="23"/>
      <c r="F112" s="24"/>
      <c r="G112" s="25"/>
      <c r="H112" s="223"/>
      <c r="I112" s="223"/>
      <c r="J112" s="8"/>
    </row>
    <row r="113" spans="1:13" x14ac:dyDescent="0.15">
      <c r="A113" s="21" t="s">
        <v>526</v>
      </c>
      <c r="B113" s="22">
        <v>1</v>
      </c>
      <c r="C113" s="22">
        <v>7</v>
      </c>
      <c r="D113" s="22">
        <v>21</v>
      </c>
      <c r="E113" s="23" t="s">
        <v>41</v>
      </c>
      <c r="F113" s="24" t="s">
        <v>42</v>
      </c>
      <c r="G113" s="25" t="s">
        <v>527</v>
      </c>
      <c r="H113" s="223">
        <v>189000</v>
      </c>
      <c r="I113" s="223"/>
      <c r="J113" s="8"/>
    </row>
    <row r="114" spans="1:13" x14ac:dyDescent="0.15">
      <c r="A114" s="21"/>
      <c r="B114" s="22"/>
      <c r="C114" s="22"/>
      <c r="D114" s="22"/>
      <c r="E114" s="23"/>
      <c r="F114" s="24"/>
      <c r="G114" s="25"/>
      <c r="H114" s="223"/>
      <c r="I114" s="223"/>
      <c r="J114" s="8"/>
    </row>
    <row r="115" spans="1:13" x14ac:dyDescent="0.15">
      <c r="A115" s="21" t="s">
        <v>528</v>
      </c>
      <c r="B115" s="22">
        <v>1</v>
      </c>
      <c r="C115" s="22">
        <v>7</v>
      </c>
      <c r="D115" s="22">
        <v>21</v>
      </c>
      <c r="E115" s="23" t="s">
        <v>529</v>
      </c>
      <c r="F115" s="24" t="s">
        <v>49</v>
      </c>
      <c r="G115" s="25" t="s">
        <v>530</v>
      </c>
      <c r="H115" s="223">
        <v>164005</v>
      </c>
      <c r="I115" s="223"/>
      <c r="J115" s="8"/>
    </row>
    <row r="116" spans="1:13" x14ac:dyDescent="0.15">
      <c r="A116" s="21"/>
      <c r="B116" s="22"/>
      <c r="C116" s="22"/>
      <c r="D116" s="22"/>
      <c r="E116" s="23"/>
      <c r="F116" s="24"/>
      <c r="G116" s="25"/>
      <c r="H116" s="223"/>
      <c r="I116" s="223"/>
      <c r="J116" s="8"/>
      <c r="M116" s="215"/>
    </row>
    <row r="117" spans="1:13" x14ac:dyDescent="0.15">
      <c r="A117" s="3" t="s">
        <v>20</v>
      </c>
      <c r="B117" s="12">
        <v>30</v>
      </c>
      <c r="C117" s="12">
        <v>9</v>
      </c>
      <c r="D117" s="12">
        <v>10</v>
      </c>
      <c r="E117" s="7" t="s">
        <v>14</v>
      </c>
      <c r="F117" s="19" t="s">
        <v>15</v>
      </c>
      <c r="G117" s="4" t="s">
        <v>16</v>
      </c>
      <c r="H117" s="8">
        <v>4</v>
      </c>
      <c r="I117" s="8"/>
      <c r="J117" s="8"/>
    </row>
    <row r="118" spans="1:13" x14ac:dyDescent="0.15">
      <c r="A118" s="3" t="s">
        <v>21</v>
      </c>
      <c r="B118" s="12">
        <v>31</v>
      </c>
      <c r="C118" s="12">
        <v>3</v>
      </c>
      <c r="D118" s="12">
        <v>11</v>
      </c>
      <c r="E118" s="7" t="s">
        <v>17</v>
      </c>
      <c r="F118" s="19" t="s">
        <v>15</v>
      </c>
      <c r="G118" s="4" t="s">
        <v>16</v>
      </c>
      <c r="H118" s="8">
        <v>5</v>
      </c>
      <c r="I118" s="8"/>
      <c r="J118" s="8"/>
    </row>
    <row r="119" spans="1:13" x14ac:dyDescent="0.15">
      <c r="A119" s="3" t="s">
        <v>531</v>
      </c>
      <c r="B119" s="12">
        <v>1</v>
      </c>
      <c r="C119" s="12">
        <v>9</v>
      </c>
      <c r="D119" s="12">
        <v>9</v>
      </c>
      <c r="E119" s="7" t="s">
        <v>14</v>
      </c>
      <c r="F119" s="19" t="s">
        <v>15</v>
      </c>
      <c r="G119" s="4" t="s">
        <v>16</v>
      </c>
      <c r="H119" s="8">
        <v>4</v>
      </c>
      <c r="I119" s="8"/>
      <c r="J119" s="8"/>
    </row>
    <row r="120" spans="1:13" x14ac:dyDescent="0.15">
      <c r="A120" s="3" t="s">
        <v>532</v>
      </c>
      <c r="B120" s="12">
        <v>2</v>
      </c>
      <c r="C120" s="12">
        <v>3</v>
      </c>
      <c r="D120" s="12">
        <v>9</v>
      </c>
      <c r="E120" s="7" t="s">
        <v>17</v>
      </c>
      <c r="F120" s="19" t="s">
        <v>15</v>
      </c>
      <c r="G120" s="4" t="s">
        <v>16</v>
      </c>
      <c r="H120" s="8">
        <v>5</v>
      </c>
      <c r="I120" s="8"/>
      <c r="J120" s="8"/>
    </row>
    <row r="121" spans="1:13" x14ac:dyDescent="0.15">
      <c r="A121" s="21" t="s">
        <v>533</v>
      </c>
      <c r="B121" s="22">
        <v>1</v>
      </c>
      <c r="C121" s="22">
        <v>7</v>
      </c>
      <c r="D121" s="22">
        <v>21</v>
      </c>
      <c r="E121" s="23" t="s">
        <v>534</v>
      </c>
      <c r="F121" s="19" t="s">
        <v>15</v>
      </c>
      <c r="G121" s="25" t="s">
        <v>535</v>
      </c>
      <c r="H121" s="223">
        <v>1347</v>
      </c>
      <c r="I121" s="223"/>
      <c r="J121" s="8"/>
    </row>
    <row r="122" spans="1:13" x14ac:dyDescent="0.15">
      <c r="A122" s="3"/>
      <c r="B122" s="12"/>
      <c r="C122" s="12"/>
      <c r="D122" s="12"/>
      <c r="E122" s="6"/>
      <c r="F122" s="2"/>
      <c r="G122" s="219" t="s">
        <v>443</v>
      </c>
      <c r="H122" s="8">
        <f>SUM(H117:H121)</f>
        <v>1365</v>
      </c>
      <c r="J122" s="8"/>
    </row>
    <row r="123" spans="1:13" x14ac:dyDescent="0.15">
      <c r="A123" s="3"/>
      <c r="B123" s="12"/>
      <c r="C123" s="12"/>
      <c r="D123" s="12"/>
      <c r="E123" s="6"/>
      <c r="F123" s="2"/>
      <c r="G123" s="9"/>
      <c r="H123" s="10"/>
      <c r="I123" s="8"/>
      <c r="J123" s="8"/>
    </row>
    <row r="124" spans="1:13" x14ac:dyDescent="0.15">
      <c r="A124" s="3" t="s">
        <v>536</v>
      </c>
      <c r="B124" s="12">
        <v>1</v>
      </c>
      <c r="C124" s="12">
        <v>7</v>
      </c>
      <c r="D124" s="12">
        <v>26</v>
      </c>
      <c r="E124" s="224" t="s">
        <v>537</v>
      </c>
      <c r="F124" s="225" t="s">
        <v>538</v>
      </c>
      <c r="G124" s="226" t="s">
        <v>539</v>
      </c>
      <c r="H124" s="48">
        <v>35000</v>
      </c>
      <c r="I124" s="48"/>
      <c r="J124" s="48"/>
    </row>
    <row r="125" spans="1:13" x14ac:dyDescent="0.15">
      <c r="A125" s="21" t="s">
        <v>540</v>
      </c>
      <c r="B125" s="22">
        <v>1</v>
      </c>
      <c r="C125" s="22">
        <v>7</v>
      </c>
      <c r="D125" s="22">
        <v>26</v>
      </c>
      <c r="E125" s="23" t="s">
        <v>541</v>
      </c>
      <c r="F125" s="19" t="s">
        <v>538</v>
      </c>
      <c r="G125" s="25" t="s">
        <v>542</v>
      </c>
      <c r="H125" s="223">
        <v>80000</v>
      </c>
      <c r="I125" s="223"/>
      <c r="J125" s="8"/>
    </row>
    <row r="126" spans="1:13" x14ac:dyDescent="0.15">
      <c r="A126" s="3"/>
      <c r="B126" s="12"/>
      <c r="C126" s="12"/>
      <c r="D126" s="12"/>
      <c r="E126" s="6"/>
      <c r="F126" s="2"/>
      <c r="G126" s="219" t="s">
        <v>443</v>
      </c>
      <c r="H126" s="8">
        <f>SUM(H124:H125)</f>
        <v>115000</v>
      </c>
      <c r="J126" s="8"/>
    </row>
    <row r="127" spans="1:13" x14ac:dyDescent="0.15">
      <c r="A127" s="3"/>
      <c r="B127" s="12"/>
      <c r="C127" s="12"/>
      <c r="D127" s="12"/>
      <c r="E127" s="6"/>
      <c r="F127" s="2"/>
      <c r="G127" s="9"/>
      <c r="H127" s="10"/>
      <c r="I127" s="8"/>
      <c r="J127" s="8"/>
    </row>
    <row r="128" spans="1:13" x14ac:dyDescent="0.15">
      <c r="A128" s="378" t="s">
        <v>8</v>
      </c>
      <c r="B128" s="378"/>
      <c r="C128" s="378"/>
      <c r="D128" s="378"/>
      <c r="E128" s="378"/>
      <c r="F128" s="378"/>
      <c r="G128" s="378"/>
      <c r="H128" s="227">
        <f>H109+H111+H113+H115+H122+H126</f>
        <v>2020431</v>
      </c>
      <c r="I128" s="227">
        <f>I22+I26+I30+I32+I38+I57+I70+I74+I78+I87+I91+I93+I107</f>
        <v>997551</v>
      </c>
      <c r="J128" s="8">
        <f>H128-I128</f>
        <v>1022880</v>
      </c>
    </row>
  </sheetData>
  <mergeCells count="4">
    <mergeCell ref="A1:D1"/>
    <mergeCell ref="H1:J1"/>
    <mergeCell ref="A2:J2"/>
    <mergeCell ref="A128:G128"/>
  </mergeCells>
  <phoneticPr fontId="2"/>
  <pageMargins left="0.7" right="0.7" top="0.75" bottom="0.75" header="0.3" footer="0.3"/>
  <pageSetup paperSize="9" scale="85" orientation="portrait" r:id="rId1"/>
  <headerFooter>
    <oddHeader>&amp;C&amp;"ＭＳ Ｐゴシック,標準"&amp;K000000&amp;A</oddHeader>
    <oddFooter>&amp;L&amp;"ＭＳ Ｐゴシック,標準"&amp;K000000&amp;Z&amp;F</oddFooter>
  </headerFooter>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100-000000000000}">
  <dimension ref="A1:J11"/>
  <sheetViews>
    <sheetView view="pageBreakPreview" zoomScale="182" zoomScaleNormal="100" zoomScaleSheetLayoutView="182" workbookViewId="0">
      <selection activeCell="H11" sqref="H11"/>
    </sheetView>
  </sheetViews>
  <sheetFormatPr defaultColWidth="8.875" defaultRowHeight="13.5" x14ac:dyDescent="0.15"/>
  <cols>
    <col min="1" max="1" width="4.125" bestFit="1" customWidth="1"/>
    <col min="2" max="4" width="3.625" bestFit="1" customWidth="1"/>
    <col min="5" max="5" width="30" bestFit="1" customWidth="1"/>
    <col min="6" max="6" width="5.5" bestFit="1" customWidth="1"/>
    <col min="7" max="7" width="16.5" bestFit="1" customWidth="1"/>
    <col min="8" max="8" width="9.625" bestFit="1" customWidth="1"/>
    <col min="9" max="9" width="9.375" bestFit="1" customWidth="1"/>
    <col min="10" max="10" width="9.625" bestFit="1" customWidth="1"/>
    <col min="13" max="13" width="9.625" bestFit="1" customWidth="1"/>
  </cols>
  <sheetData>
    <row r="1" spans="1:10" ht="24" x14ac:dyDescent="0.15">
      <c r="A1" s="381" t="s">
        <v>26</v>
      </c>
      <c r="B1" s="381"/>
      <c r="C1" s="381"/>
      <c r="D1" s="381"/>
      <c r="E1" s="20"/>
      <c r="F1" s="5"/>
      <c r="H1" s="383" t="str">
        <f>祭礼会計出納簿!H1</f>
        <v>2023/7/18現在</v>
      </c>
      <c r="I1" s="383"/>
      <c r="J1" s="383"/>
    </row>
    <row r="2" spans="1:10" x14ac:dyDescent="0.15">
      <c r="A2" s="384" t="str">
        <f>祭礼会計出納簿!A2</f>
        <v>令和５年度　駒寄町内会　祭礼会計出納簿　(令和５年４月１日～令和６年３月３１日)</v>
      </c>
      <c r="B2" s="384"/>
      <c r="C2" s="384"/>
      <c r="D2" s="384"/>
      <c r="E2" s="384"/>
      <c r="F2" s="384"/>
      <c r="G2" s="384"/>
      <c r="H2" s="384"/>
      <c r="I2" s="384"/>
      <c r="J2" s="384"/>
    </row>
    <row r="3" spans="1:10" x14ac:dyDescent="0.15">
      <c r="A3" s="3" t="s">
        <v>6</v>
      </c>
      <c r="B3" s="12" t="s">
        <v>0</v>
      </c>
      <c r="C3" s="12" t="s">
        <v>1</v>
      </c>
      <c r="D3" s="12" t="s">
        <v>2</v>
      </c>
      <c r="E3" s="3" t="s">
        <v>3</v>
      </c>
      <c r="F3" s="2" t="s">
        <v>4</v>
      </c>
      <c r="G3" s="2" t="s">
        <v>5</v>
      </c>
      <c r="H3" s="10" t="s">
        <v>9</v>
      </c>
      <c r="I3" s="10" t="s">
        <v>7</v>
      </c>
      <c r="J3" s="10" t="s">
        <v>10</v>
      </c>
    </row>
    <row r="4" spans="1:10" x14ac:dyDescent="0.15">
      <c r="A4" s="3" t="s">
        <v>19</v>
      </c>
      <c r="B4" s="41">
        <v>3</v>
      </c>
      <c r="C4" s="41">
        <v>4</v>
      </c>
      <c r="D4" s="41">
        <v>1</v>
      </c>
      <c r="E4" s="7" t="s">
        <v>11</v>
      </c>
      <c r="F4" s="19" t="s">
        <v>12</v>
      </c>
      <c r="G4" s="4" t="s">
        <v>13</v>
      </c>
      <c r="H4" s="45">
        <f>祭礼会計出納簿!H4</f>
        <v>801901</v>
      </c>
      <c r="I4" s="45"/>
      <c r="J4" s="45"/>
    </row>
    <row r="5" spans="1:10" x14ac:dyDescent="0.15">
      <c r="A5" s="3"/>
      <c r="B5" s="41"/>
      <c r="C5" s="41"/>
      <c r="D5" s="41"/>
      <c r="E5" s="7"/>
      <c r="F5" s="19"/>
      <c r="G5" s="4"/>
      <c r="H5" s="45"/>
      <c r="I5" s="45"/>
      <c r="J5" s="45"/>
    </row>
    <row r="6" spans="1:10" x14ac:dyDescent="0.15">
      <c r="A6" s="3" t="s">
        <v>20</v>
      </c>
      <c r="B6" s="41">
        <v>3</v>
      </c>
      <c r="C6" s="41">
        <v>9</v>
      </c>
      <c r="D6" s="41">
        <v>13</v>
      </c>
      <c r="E6" s="7" t="s">
        <v>14</v>
      </c>
      <c r="F6" s="19" t="s">
        <v>15</v>
      </c>
      <c r="G6" s="4" t="s">
        <v>16</v>
      </c>
      <c r="H6" s="45">
        <v>3</v>
      </c>
      <c r="I6" s="45"/>
      <c r="J6" s="45"/>
    </row>
    <row r="7" spans="1:10" x14ac:dyDescent="0.15">
      <c r="A7" s="3"/>
      <c r="B7" s="41"/>
      <c r="C7" s="41"/>
      <c r="D7" s="41"/>
      <c r="E7" s="7"/>
      <c r="F7" s="19"/>
      <c r="G7" s="4"/>
      <c r="H7" s="45"/>
      <c r="I7" s="45"/>
      <c r="J7" s="45"/>
    </row>
    <row r="8" spans="1:10" x14ac:dyDescent="0.15">
      <c r="A8" s="3" t="s">
        <v>21</v>
      </c>
      <c r="B8" s="41">
        <v>4</v>
      </c>
      <c r="C8" s="41">
        <v>3</v>
      </c>
      <c r="D8" s="41">
        <v>14</v>
      </c>
      <c r="E8" s="7" t="s">
        <v>17</v>
      </c>
      <c r="F8" s="19" t="s">
        <v>15</v>
      </c>
      <c r="G8" s="4" t="s">
        <v>16</v>
      </c>
      <c r="H8" s="45">
        <v>3</v>
      </c>
      <c r="I8" s="46"/>
      <c r="J8" s="45"/>
    </row>
    <row r="9" spans="1:10" x14ac:dyDescent="0.15">
      <c r="A9" s="21"/>
      <c r="B9" s="22"/>
      <c r="C9" s="22"/>
      <c r="D9" s="22"/>
      <c r="E9" s="23"/>
      <c r="F9" s="24"/>
      <c r="G9" s="25"/>
      <c r="H9" s="46"/>
      <c r="I9" s="46"/>
      <c r="J9" s="45"/>
    </row>
    <row r="10" spans="1:10" x14ac:dyDescent="0.15">
      <c r="A10" s="3"/>
      <c r="B10" s="12"/>
      <c r="C10" s="12"/>
      <c r="D10" s="12"/>
      <c r="E10" s="6"/>
      <c r="F10" s="2"/>
      <c r="G10" s="9"/>
      <c r="H10" s="44"/>
      <c r="I10" s="45"/>
      <c r="J10" s="45"/>
    </row>
    <row r="11" spans="1:10" x14ac:dyDescent="0.15">
      <c r="A11" s="378" t="s">
        <v>8</v>
      </c>
      <c r="B11" s="378"/>
      <c r="C11" s="378"/>
      <c r="D11" s="378"/>
      <c r="E11" s="378"/>
      <c r="F11" s="378"/>
      <c r="G11" s="378"/>
      <c r="H11" s="47">
        <f>SUM(H4:H8)</f>
        <v>801907</v>
      </c>
      <c r="I11" s="47">
        <v>0</v>
      </c>
      <c r="J11" s="45">
        <f>H11-I11</f>
        <v>801907</v>
      </c>
    </row>
  </sheetData>
  <mergeCells count="4">
    <mergeCell ref="A1:D1"/>
    <mergeCell ref="H1:J1"/>
    <mergeCell ref="A2:J2"/>
    <mergeCell ref="A11:G11"/>
  </mergeCells>
  <phoneticPr fontId="2"/>
  <pageMargins left="0.7" right="0.7" top="0.75" bottom="0.75" header="0.3" footer="0.3"/>
  <pageSetup paperSize="9" scale="85" orientation="portrait" r:id="rId1"/>
  <headerFooter>
    <oddHeader>&amp;C&amp;"ＭＳ Ｐゴシック,標準"&amp;K000000&amp;A</oddHeader>
    <oddFooter>&amp;L&amp;"ＭＳ Ｐゴシック,標準"&amp;K000000&amp;Z&amp;F</oddFooter>
  </headerFooter>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C30F439-3F9D-4D66-BB7D-AD8C64B81214}">
  <dimension ref="B1:E43"/>
  <sheetViews>
    <sheetView topLeftCell="A10" workbookViewId="0">
      <selection activeCell="C36" sqref="C36"/>
    </sheetView>
  </sheetViews>
  <sheetFormatPr defaultColWidth="8.875" defaultRowHeight="13.5" x14ac:dyDescent="0.15"/>
  <cols>
    <col min="1" max="1" width="2.5" style="364" customWidth="1"/>
    <col min="2" max="2" width="27.375" style="364" bestFit="1" customWidth="1"/>
    <col min="3" max="3" width="8.875" style="365"/>
    <col min="4" max="4" width="24.625" style="364" customWidth="1"/>
    <col min="5" max="5" width="44.5" style="364" bestFit="1" customWidth="1"/>
    <col min="6" max="16384" width="8.875" style="364"/>
  </cols>
  <sheetData>
    <row r="1" spans="2:5" x14ac:dyDescent="0.15">
      <c r="C1" s="365" t="s">
        <v>874</v>
      </c>
    </row>
    <row r="2" spans="2:5" x14ac:dyDescent="0.15">
      <c r="B2" s="366" t="s">
        <v>878</v>
      </c>
      <c r="C2" s="367" t="s">
        <v>202</v>
      </c>
      <c r="D2" s="366" t="s">
        <v>877</v>
      </c>
      <c r="E2" s="366"/>
    </row>
    <row r="3" spans="2:5" x14ac:dyDescent="0.15">
      <c r="B3" s="366"/>
      <c r="C3" s="367"/>
      <c r="D3" s="368"/>
      <c r="E3" s="366"/>
    </row>
    <row r="4" spans="2:5" x14ac:dyDescent="0.15">
      <c r="B4" s="366" t="s">
        <v>879</v>
      </c>
      <c r="C4" s="367" t="s">
        <v>224</v>
      </c>
      <c r="D4" s="368" t="s">
        <v>880</v>
      </c>
      <c r="E4" s="369" t="s">
        <v>882</v>
      </c>
    </row>
    <row r="5" spans="2:5" x14ac:dyDescent="0.15">
      <c r="B5" s="366"/>
      <c r="C5" s="367"/>
      <c r="D5" s="368"/>
      <c r="E5" s="366"/>
    </row>
    <row r="6" spans="2:5" x14ac:dyDescent="0.15">
      <c r="B6" s="366" t="s">
        <v>881</v>
      </c>
      <c r="C6" s="367" t="s">
        <v>225</v>
      </c>
      <c r="D6" s="366" t="s">
        <v>884</v>
      </c>
      <c r="E6" s="366"/>
    </row>
    <row r="7" spans="2:5" x14ac:dyDescent="0.15">
      <c r="B7" s="366"/>
      <c r="C7" s="367"/>
      <c r="D7" s="366"/>
      <c r="E7" s="366"/>
    </row>
    <row r="8" spans="2:5" x14ac:dyDescent="0.15">
      <c r="B8" s="366" t="s">
        <v>883</v>
      </c>
      <c r="C8" s="367" t="s">
        <v>226</v>
      </c>
      <c r="D8" s="366" t="s">
        <v>400</v>
      </c>
      <c r="E8" s="366"/>
    </row>
    <row r="9" spans="2:5" x14ac:dyDescent="0.15">
      <c r="B9" s="366"/>
      <c r="C9" s="367"/>
      <c r="D9" s="37"/>
      <c r="E9" s="366"/>
    </row>
    <row r="10" spans="2:5" x14ac:dyDescent="0.15">
      <c r="B10" s="366" t="s">
        <v>885</v>
      </c>
      <c r="C10" s="367" t="s">
        <v>227</v>
      </c>
      <c r="D10" s="366" t="s">
        <v>401</v>
      </c>
      <c r="E10" s="366"/>
    </row>
    <row r="11" spans="2:5" x14ac:dyDescent="0.15">
      <c r="B11" s="366"/>
      <c r="C11" s="367"/>
      <c r="D11" s="366"/>
      <c r="E11" s="369"/>
    </row>
    <row r="12" spans="2:5" x14ac:dyDescent="0.15">
      <c r="B12" s="366" t="s">
        <v>886</v>
      </c>
      <c r="C12" s="367" t="s">
        <v>196</v>
      </c>
      <c r="D12" s="366" t="s">
        <v>397</v>
      </c>
      <c r="E12" s="366"/>
    </row>
    <row r="13" spans="2:5" x14ac:dyDescent="0.15">
      <c r="B13" s="366"/>
      <c r="C13" s="367"/>
      <c r="D13" s="366"/>
      <c r="E13" s="369"/>
    </row>
    <row r="15" spans="2:5" x14ac:dyDescent="0.15">
      <c r="C15" s="365" t="s">
        <v>875</v>
      </c>
    </row>
    <row r="16" spans="2:5" x14ac:dyDescent="0.15">
      <c r="B16" s="366" t="s">
        <v>887</v>
      </c>
      <c r="C16" s="367">
        <v>1</v>
      </c>
      <c r="D16" s="366" t="s">
        <v>901</v>
      </c>
      <c r="E16" s="366"/>
    </row>
    <row r="17" spans="2:5" x14ac:dyDescent="0.15">
      <c r="B17" s="366"/>
      <c r="C17" s="367"/>
      <c r="D17" s="366"/>
      <c r="E17" s="366"/>
    </row>
    <row r="18" spans="2:5" x14ac:dyDescent="0.15">
      <c r="B18" s="366" t="s">
        <v>888</v>
      </c>
      <c r="C18" s="367">
        <v>2</v>
      </c>
      <c r="D18" s="366" t="s">
        <v>902</v>
      </c>
      <c r="E18" s="366"/>
    </row>
    <row r="19" spans="2:5" x14ac:dyDescent="0.15">
      <c r="B19" s="366"/>
      <c r="C19" s="367"/>
      <c r="D19" s="366"/>
      <c r="E19" s="366"/>
    </row>
    <row r="20" spans="2:5" x14ac:dyDescent="0.15">
      <c r="B20" s="366" t="s">
        <v>889</v>
      </c>
      <c r="C20" s="367">
        <v>3</v>
      </c>
      <c r="D20" s="366" t="s">
        <v>903</v>
      </c>
      <c r="E20" s="366"/>
    </row>
    <row r="21" spans="2:5" x14ac:dyDescent="0.15">
      <c r="B21" s="366"/>
      <c r="C21" s="367"/>
      <c r="D21" s="366"/>
      <c r="E21" s="366"/>
    </row>
    <row r="22" spans="2:5" x14ac:dyDescent="0.15">
      <c r="B22" s="366" t="s">
        <v>890</v>
      </c>
      <c r="C22" s="367">
        <v>4</v>
      </c>
      <c r="D22" s="366" t="s">
        <v>549</v>
      </c>
      <c r="E22" s="366"/>
    </row>
    <row r="23" spans="2:5" x14ac:dyDescent="0.15">
      <c r="B23" s="366"/>
      <c r="C23" s="367"/>
      <c r="D23" s="366"/>
      <c r="E23" s="366"/>
    </row>
    <row r="24" spans="2:5" x14ac:dyDescent="0.15">
      <c r="B24" s="366" t="s">
        <v>891</v>
      </c>
      <c r="C24" s="367">
        <v>5</v>
      </c>
      <c r="D24" s="366" t="s">
        <v>904</v>
      </c>
      <c r="E24" s="366"/>
    </row>
    <row r="25" spans="2:5" x14ac:dyDescent="0.15">
      <c r="B25" s="366"/>
      <c r="C25" s="367"/>
      <c r="D25" s="366"/>
      <c r="E25" s="366"/>
    </row>
    <row r="26" spans="2:5" x14ac:dyDescent="0.15">
      <c r="B26" s="366" t="s">
        <v>892</v>
      </c>
      <c r="C26" s="367">
        <v>6</v>
      </c>
      <c r="D26" s="366" t="s">
        <v>905</v>
      </c>
      <c r="E26" s="366"/>
    </row>
    <row r="27" spans="2:5" x14ac:dyDescent="0.15">
      <c r="B27" s="366"/>
      <c r="C27" s="367"/>
      <c r="D27" s="366"/>
      <c r="E27" s="366"/>
    </row>
    <row r="28" spans="2:5" x14ac:dyDescent="0.15">
      <c r="B28" s="366" t="s">
        <v>893</v>
      </c>
      <c r="C28" s="367">
        <v>7</v>
      </c>
      <c r="D28" s="366" t="s">
        <v>906</v>
      </c>
      <c r="E28" s="366"/>
    </row>
    <row r="29" spans="2:5" x14ac:dyDescent="0.15">
      <c r="B29" s="366"/>
      <c r="C29" s="367"/>
      <c r="D29" s="366"/>
      <c r="E29" s="366"/>
    </row>
    <row r="30" spans="2:5" x14ac:dyDescent="0.15">
      <c r="B30" s="366" t="s">
        <v>894</v>
      </c>
      <c r="C30" s="367">
        <v>8</v>
      </c>
      <c r="D30" s="366" t="s">
        <v>907</v>
      </c>
      <c r="E30" s="366"/>
    </row>
    <row r="31" spans="2:5" x14ac:dyDescent="0.15">
      <c r="B31" s="366"/>
      <c r="C31" s="367"/>
      <c r="D31" s="366"/>
      <c r="E31" s="366"/>
    </row>
    <row r="32" spans="2:5" x14ac:dyDescent="0.15">
      <c r="B32" s="366" t="s">
        <v>895</v>
      </c>
      <c r="C32" s="367">
        <v>9</v>
      </c>
      <c r="D32" s="366" t="s">
        <v>908</v>
      </c>
      <c r="E32" s="366"/>
    </row>
    <row r="33" spans="2:5" x14ac:dyDescent="0.15">
      <c r="B33" s="366"/>
      <c r="C33" s="367"/>
      <c r="D33" s="366"/>
      <c r="E33" s="366"/>
    </row>
    <row r="34" spans="2:5" x14ac:dyDescent="0.15">
      <c r="B34" s="366" t="s">
        <v>896</v>
      </c>
      <c r="C34" s="367">
        <v>10</v>
      </c>
      <c r="D34" s="366" t="s">
        <v>909</v>
      </c>
      <c r="E34" s="366"/>
    </row>
    <row r="35" spans="2:5" x14ac:dyDescent="0.15">
      <c r="B35" s="366"/>
      <c r="C35" s="367"/>
      <c r="D35" s="366"/>
      <c r="E35" s="366"/>
    </row>
    <row r="36" spans="2:5" x14ac:dyDescent="0.15">
      <c r="B36" s="366" t="s">
        <v>897</v>
      </c>
      <c r="C36" s="367">
        <v>11</v>
      </c>
      <c r="D36" s="366" t="s">
        <v>876</v>
      </c>
      <c r="E36" s="366"/>
    </row>
    <row r="37" spans="2:5" x14ac:dyDescent="0.15">
      <c r="B37" s="366"/>
      <c r="C37" s="367"/>
      <c r="D37" s="366"/>
      <c r="E37" s="366"/>
    </row>
    <row r="38" spans="2:5" x14ac:dyDescent="0.15">
      <c r="B38" s="366" t="s">
        <v>898</v>
      </c>
      <c r="C38" s="367">
        <v>12</v>
      </c>
      <c r="D38" s="366" t="s">
        <v>910</v>
      </c>
      <c r="E38" s="366"/>
    </row>
    <row r="39" spans="2:5" x14ac:dyDescent="0.15">
      <c r="B39" s="366"/>
      <c r="C39" s="367"/>
      <c r="D39" s="366"/>
      <c r="E39" s="366"/>
    </row>
    <row r="40" spans="2:5" x14ac:dyDescent="0.15">
      <c r="B40" s="366" t="s">
        <v>899</v>
      </c>
      <c r="C40" s="367">
        <v>13</v>
      </c>
      <c r="D40" s="366" t="s">
        <v>911</v>
      </c>
      <c r="E40" s="366"/>
    </row>
    <row r="41" spans="2:5" x14ac:dyDescent="0.15">
      <c r="B41" s="366"/>
      <c r="C41" s="367"/>
      <c r="D41" s="366"/>
      <c r="E41" s="366"/>
    </row>
    <row r="42" spans="2:5" x14ac:dyDescent="0.15">
      <c r="B42" s="366" t="s">
        <v>900</v>
      </c>
      <c r="C42" s="367">
        <v>14</v>
      </c>
      <c r="D42" s="366" t="s">
        <v>912</v>
      </c>
      <c r="E42" s="366"/>
    </row>
    <row r="43" spans="2:5" x14ac:dyDescent="0.15">
      <c r="B43" s="366"/>
      <c r="C43" s="367"/>
      <c r="D43" s="366"/>
      <c r="E43" s="366"/>
    </row>
  </sheetData>
  <phoneticPr fontId="2"/>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9F4B1D7-7505-45D8-8D7F-5D1745A60667}">
  <sheetPr>
    <tabColor theme="6" tint="0.59999389629810485"/>
    <pageSetUpPr fitToPage="1"/>
  </sheetPr>
  <dimension ref="A1:Y123"/>
  <sheetViews>
    <sheetView tabSelected="1" view="pageBreakPreview" zoomScaleNormal="90" zoomScaleSheetLayoutView="100" workbookViewId="0">
      <pane ySplit="3" topLeftCell="A69" activePane="bottomLeft" state="frozen"/>
      <selection pane="bottomLeft" activeCell="J54" sqref="J54"/>
    </sheetView>
  </sheetViews>
  <sheetFormatPr defaultColWidth="8.875" defaultRowHeight="13.5" outlineLevelCol="1" x14ac:dyDescent="0.15"/>
  <cols>
    <col min="1" max="1" width="4.5" style="114" bestFit="1" customWidth="1"/>
    <col min="2" max="5" width="4.125" style="114" customWidth="1"/>
    <col min="6" max="6" width="27.125" style="85" customWidth="1"/>
    <col min="7" max="7" width="5" style="114" bestFit="1" customWidth="1"/>
    <col min="8" max="8" width="17.125" style="85" customWidth="1"/>
    <col min="9" max="9" width="27.25" style="107" bestFit="1" customWidth="1"/>
    <col min="10" max="11" width="9.625" style="144" customWidth="1"/>
    <col min="12" max="12" width="11.75" style="146" bestFit="1" customWidth="1"/>
    <col min="13" max="14" width="9.625" style="144" customWidth="1"/>
    <col min="15" max="15" width="9.5" style="107" bestFit="1" customWidth="1"/>
    <col min="16" max="18" width="9" style="107" bestFit="1" customWidth="1"/>
    <col min="19" max="20" width="9.25" style="107" bestFit="1" customWidth="1"/>
    <col min="21" max="21" width="9" style="389" hidden="1" customWidth="1" outlineLevel="1"/>
    <col min="22" max="22" width="25" style="145" customWidth="1" collapsed="1"/>
    <col min="23" max="24" width="8.875" style="107"/>
    <col min="25" max="25" width="9.25" style="107" bestFit="1" customWidth="1"/>
    <col min="26" max="16384" width="8.875" style="107"/>
  </cols>
  <sheetData>
    <row r="1" spans="1:25" s="86" customFormat="1" ht="21" customHeight="1" x14ac:dyDescent="0.15">
      <c r="A1" s="81"/>
      <c r="B1" s="81"/>
      <c r="C1" s="81"/>
      <c r="D1" s="81"/>
      <c r="E1" s="81"/>
      <c r="F1" s="82"/>
      <c r="G1" s="81"/>
      <c r="H1" s="82"/>
      <c r="I1" s="81"/>
      <c r="J1" s="83"/>
      <c r="K1" s="83"/>
      <c r="L1" s="83"/>
      <c r="M1" s="83"/>
      <c r="N1" s="84"/>
      <c r="O1" s="84" t="s">
        <v>186</v>
      </c>
      <c r="P1" s="84" t="s">
        <v>186</v>
      </c>
      <c r="Q1" s="84" t="s">
        <v>186</v>
      </c>
      <c r="R1" s="84"/>
      <c r="S1" s="84"/>
      <c r="T1" s="84"/>
      <c r="U1" s="405"/>
      <c r="V1" s="85"/>
    </row>
    <row r="2" spans="1:25" s="86" customFormat="1" ht="21" customHeight="1" x14ac:dyDescent="0.15">
      <c r="A2" s="87" t="s">
        <v>6</v>
      </c>
      <c r="B2" s="87" t="s">
        <v>0</v>
      </c>
      <c r="C2" s="87" t="s">
        <v>1</v>
      </c>
      <c r="D2" s="87" t="s">
        <v>2</v>
      </c>
      <c r="E2" s="87" t="s">
        <v>726</v>
      </c>
      <c r="F2" s="88" t="s">
        <v>3</v>
      </c>
      <c r="G2" s="87" t="s">
        <v>4</v>
      </c>
      <c r="H2" s="87" t="s">
        <v>244</v>
      </c>
      <c r="I2" s="87" t="s">
        <v>5</v>
      </c>
      <c r="J2" s="89" t="s">
        <v>7</v>
      </c>
      <c r="K2" s="90" t="s">
        <v>9</v>
      </c>
      <c r="L2" s="91" t="s">
        <v>187</v>
      </c>
      <c r="M2" s="92" t="s">
        <v>237</v>
      </c>
      <c r="N2" s="92" t="s">
        <v>188</v>
      </c>
      <c r="O2" s="50" t="s">
        <v>867</v>
      </c>
      <c r="P2" s="50" t="s">
        <v>659</v>
      </c>
      <c r="Q2" s="50" t="s">
        <v>190</v>
      </c>
      <c r="R2" s="50" t="s">
        <v>191</v>
      </c>
      <c r="S2" s="50" t="s">
        <v>702</v>
      </c>
      <c r="T2" s="50" t="s">
        <v>242</v>
      </c>
      <c r="U2" s="386" t="s">
        <v>192</v>
      </c>
      <c r="V2" s="50" t="s">
        <v>193</v>
      </c>
    </row>
    <row r="3" spans="1:25" s="100" customFormat="1" ht="12" customHeight="1" x14ac:dyDescent="0.15">
      <c r="A3" s="93">
        <v>0</v>
      </c>
      <c r="B3" s="93"/>
      <c r="C3" s="93"/>
      <c r="D3" s="93"/>
      <c r="E3" s="93"/>
      <c r="F3" s="385" t="s">
        <v>194</v>
      </c>
      <c r="G3" s="93"/>
      <c r="H3" s="93"/>
      <c r="I3" s="93"/>
      <c r="J3" s="95"/>
      <c r="K3" s="95"/>
      <c r="L3" s="95"/>
      <c r="M3" s="96">
        <v>0</v>
      </c>
      <c r="N3" s="96">
        <v>0</v>
      </c>
      <c r="O3" s="97">
        <v>0</v>
      </c>
      <c r="P3" s="97">
        <v>0</v>
      </c>
      <c r="Q3" s="97">
        <v>0</v>
      </c>
      <c r="R3" s="97">
        <v>0</v>
      </c>
      <c r="S3" s="97">
        <v>0</v>
      </c>
      <c r="T3" s="97">
        <v>0</v>
      </c>
      <c r="U3" s="406"/>
      <c r="V3" s="385" t="s">
        <v>194</v>
      </c>
    </row>
    <row r="4" spans="1:25" s="100" customFormat="1" ht="21" customHeight="1" x14ac:dyDescent="0.15">
      <c r="A4" s="41">
        <f>ROW()-3</f>
        <v>1</v>
      </c>
      <c r="B4" s="41">
        <v>6</v>
      </c>
      <c r="C4" s="41">
        <v>4</v>
      </c>
      <c r="D4" s="41">
        <v>1</v>
      </c>
      <c r="E4" s="325" t="s">
        <v>727</v>
      </c>
      <c r="F4" s="37" t="s">
        <v>195</v>
      </c>
      <c r="G4" s="41" t="s">
        <v>202</v>
      </c>
      <c r="H4" s="37" t="str">
        <f>VLOOKUP(G4,祭礼会計コード!$C$2:$D$43,2,FALSE)</f>
        <v>前年度繰越金</v>
      </c>
      <c r="I4" s="37" t="s">
        <v>197</v>
      </c>
      <c r="J4" s="101"/>
      <c r="K4" s="101">
        <v>801907</v>
      </c>
      <c r="L4" s="102" t="s">
        <v>188</v>
      </c>
      <c r="M4" s="103">
        <f ca="1">OFFSET(M4,-1,0)+K4-J4</f>
        <v>801907</v>
      </c>
      <c r="N4" s="103">
        <f t="shared" ref="N4:S7" ca="1" si="0">IF($L4=N$2,OFFSET(N4,-1,0)+$K4-$J4,OFFSET(N4,-1,0))</f>
        <v>801907</v>
      </c>
      <c r="O4" s="103">
        <f t="shared" ca="1" si="0"/>
        <v>0</v>
      </c>
      <c r="P4" s="103">
        <f t="shared" ca="1" si="0"/>
        <v>0</v>
      </c>
      <c r="Q4" s="103">
        <f t="shared" ca="1" si="0"/>
        <v>0</v>
      </c>
      <c r="R4" s="103">
        <f t="shared" ca="1" si="0"/>
        <v>0</v>
      </c>
      <c r="S4" s="103">
        <f t="shared" ca="1" si="0"/>
        <v>0</v>
      </c>
      <c r="T4" s="103">
        <f t="shared" ref="T4:T72" ca="1" si="1">IF($L4=T$2,OFFSET(T4,-1,0)+$K4-$J4,OFFSET(T4,-1,0))</f>
        <v>0</v>
      </c>
      <c r="U4" s="102" t="b">
        <f t="shared" ref="U4:U43" ca="1" si="2">M4=SUM(N4:T4)</f>
        <v>1</v>
      </c>
      <c r="V4" s="37"/>
    </row>
    <row r="5" spans="1:25" s="100" customFormat="1" ht="21" customHeight="1" x14ac:dyDescent="0.15">
      <c r="A5" s="41">
        <f t="shared" ref="A5:A83" si="3">ROW()-3</f>
        <v>2</v>
      </c>
      <c r="B5" s="41">
        <v>6</v>
      </c>
      <c r="C5" s="41">
        <v>4</v>
      </c>
      <c r="D5" s="41">
        <v>1</v>
      </c>
      <c r="E5" s="326" t="s">
        <v>728</v>
      </c>
      <c r="F5" s="37" t="s">
        <v>198</v>
      </c>
      <c r="G5" s="41" t="s">
        <v>202</v>
      </c>
      <c r="H5" s="37" t="str">
        <f>VLOOKUP(G5,祭礼会計コード!$C$2:$D$43,2,FALSE)</f>
        <v>前年度繰越金</v>
      </c>
      <c r="I5" s="37" t="s">
        <v>236</v>
      </c>
      <c r="J5" s="101"/>
      <c r="K5" s="101">
        <v>38678</v>
      </c>
      <c r="L5" s="50" t="s">
        <v>867</v>
      </c>
      <c r="M5" s="103">
        <f t="shared" ref="M5:M56" ca="1" si="4">OFFSET(M5,-1,0)+K5-J5</f>
        <v>840585</v>
      </c>
      <c r="N5" s="103">
        <f t="shared" ref="N5:T57" ca="1" si="5">IF($L5=N$2,OFFSET(N5,-1,0)+$K5-$J5,OFFSET(N5,-1,0))</f>
        <v>801907</v>
      </c>
      <c r="O5" s="103">
        <f t="shared" ca="1" si="5"/>
        <v>38678</v>
      </c>
      <c r="P5" s="103">
        <f t="shared" ca="1" si="5"/>
        <v>0</v>
      </c>
      <c r="Q5" s="103">
        <f t="shared" ca="1" si="5"/>
        <v>0</v>
      </c>
      <c r="R5" s="103">
        <f t="shared" ca="1" si="5"/>
        <v>0</v>
      </c>
      <c r="S5" s="103">
        <f t="shared" ca="1" si="5"/>
        <v>0</v>
      </c>
      <c r="T5" s="103">
        <f t="shared" ca="1" si="1"/>
        <v>0</v>
      </c>
      <c r="U5" s="102" t="b">
        <f t="shared" ca="1" si="2"/>
        <v>1</v>
      </c>
      <c r="V5" s="37"/>
      <c r="Y5" s="104"/>
    </row>
    <row r="6" spans="1:25" s="100" customFormat="1" ht="21" customHeight="1" x14ac:dyDescent="0.15">
      <c r="A6" s="349">
        <f t="shared" si="3"/>
        <v>3</v>
      </c>
      <c r="B6" s="349">
        <v>6</v>
      </c>
      <c r="C6" s="349">
        <v>6</v>
      </c>
      <c r="D6" s="349">
        <v>17</v>
      </c>
      <c r="E6" s="349"/>
      <c r="F6" s="392" t="s">
        <v>929</v>
      </c>
      <c r="G6" s="349"/>
      <c r="H6" s="392"/>
      <c r="I6" s="392" t="s">
        <v>928</v>
      </c>
      <c r="J6" s="393">
        <v>800000</v>
      </c>
      <c r="K6" s="393"/>
      <c r="L6" s="394" t="s">
        <v>188</v>
      </c>
      <c r="M6" s="395">
        <f t="shared" ca="1" si="4"/>
        <v>40585</v>
      </c>
      <c r="N6" s="395">
        <f t="shared" ca="1" si="5"/>
        <v>1907</v>
      </c>
      <c r="O6" s="103">
        <f t="shared" ca="1" si="5"/>
        <v>38678</v>
      </c>
      <c r="P6" s="103">
        <f t="shared" ca="1" si="5"/>
        <v>0</v>
      </c>
      <c r="Q6" s="103">
        <f t="shared" ca="1" si="5"/>
        <v>0</v>
      </c>
      <c r="R6" s="103">
        <f t="shared" ca="1" si="5"/>
        <v>0</v>
      </c>
      <c r="S6" s="103">
        <f t="shared" ca="1" si="5"/>
        <v>0</v>
      </c>
      <c r="T6" s="103">
        <f t="shared" ca="1" si="1"/>
        <v>0</v>
      </c>
      <c r="U6" s="102" t="b">
        <f t="shared" ca="1" si="2"/>
        <v>1</v>
      </c>
      <c r="V6" s="392" t="s">
        <v>930</v>
      </c>
      <c r="Y6" s="104"/>
    </row>
    <row r="7" spans="1:25" s="268" customFormat="1" ht="21" customHeight="1" x14ac:dyDescent="0.15">
      <c r="A7" s="264">
        <f t="shared" si="3"/>
        <v>4</v>
      </c>
      <c r="B7" s="41">
        <v>6</v>
      </c>
      <c r="C7" s="50">
        <v>6</v>
      </c>
      <c r="D7" s="50">
        <v>26</v>
      </c>
      <c r="E7" s="50"/>
      <c r="F7" s="278" t="s">
        <v>591</v>
      </c>
      <c r="G7" s="92">
        <v>11</v>
      </c>
      <c r="H7" s="37" t="str">
        <f>VLOOKUP(G7,祭礼会計コード!$C$2:$D$43,2,FALSE)</f>
        <v>雑費</v>
      </c>
      <c r="I7" s="273" t="s">
        <v>498</v>
      </c>
      <c r="J7" s="276">
        <v>2000</v>
      </c>
      <c r="K7" s="276"/>
      <c r="L7" s="50" t="s">
        <v>191</v>
      </c>
      <c r="M7" s="284">
        <f t="shared" ca="1" si="4"/>
        <v>38585</v>
      </c>
      <c r="N7" s="284">
        <f t="shared" ca="1" si="0"/>
        <v>1907</v>
      </c>
      <c r="O7" s="284">
        <f t="shared" ca="1" si="0"/>
        <v>38678</v>
      </c>
      <c r="P7" s="284">
        <f t="shared" ca="1" si="0"/>
        <v>0</v>
      </c>
      <c r="Q7" s="284">
        <f t="shared" ca="1" si="0"/>
        <v>0</v>
      </c>
      <c r="R7" s="284">
        <f t="shared" ca="1" si="0"/>
        <v>-2000</v>
      </c>
      <c r="S7" s="284">
        <f t="shared" ca="1" si="0"/>
        <v>0</v>
      </c>
      <c r="T7" s="103">
        <f t="shared" ca="1" si="1"/>
        <v>0</v>
      </c>
      <c r="U7" s="265" t="b">
        <f t="shared" ref="U7" ca="1" si="6">M7=SUM(N7:T7)</f>
        <v>1</v>
      </c>
      <c r="V7" s="266"/>
      <c r="X7" s="269"/>
    </row>
    <row r="8" spans="1:25" s="100" customFormat="1" ht="21" customHeight="1" x14ac:dyDescent="0.15">
      <c r="A8" s="41">
        <f t="shared" si="3"/>
        <v>5</v>
      </c>
      <c r="B8" s="41">
        <v>6</v>
      </c>
      <c r="C8" s="41">
        <v>7</v>
      </c>
      <c r="D8" s="41">
        <v>1</v>
      </c>
      <c r="E8" s="41"/>
      <c r="F8" s="78" t="s">
        <v>649</v>
      </c>
      <c r="G8" s="41">
        <v>10</v>
      </c>
      <c r="H8" s="37" t="str">
        <f>VLOOKUP(G8,祭礼会計コード!$C$2:$D$43,2,FALSE)</f>
        <v>寄附金等への返礼費</v>
      </c>
      <c r="I8" s="273" t="s">
        <v>30</v>
      </c>
      <c r="J8" s="101">
        <v>550</v>
      </c>
      <c r="K8" s="101"/>
      <c r="L8" s="50" t="s">
        <v>867</v>
      </c>
      <c r="M8" s="103">
        <f t="shared" ca="1" si="4"/>
        <v>38035</v>
      </c>
      <c r="N8" s="103">
        <f t="shared" ca="1" si="5"/>
        <v>1907</v>
      </c>
      <c r="O8" s="103">
        <f t="shared" ca="1" si="5"/>
        <v>38128</v>
      </c>
      <c r="P8" s="103">
        <f t="shared" ca="1" si="5"/>
        <v>0</v>
      </c>
      <c r="Q8" s="103">
        <f t="shared" ca="1" si="5"/>
        <v>0</v>
      </c>
      <c r="R8" s="103">
        <f t="shared" ca="1" si="5"/>
        <v>-2000</v>
      </c>
      <c r="S8" s="103">
        <f t="shared" ca="1" si="5"/>
        <v>0</v>
      </c>
      <c r="T8" s="103">
        <f t="shared" ca="1" si="1"/>
        <v>0</v>
      </c>
      <c r="U8" s="102" t="b">
        <f t="shared" ref="U8" ca="1" si="7">M8=SUM(N8:T8)</f>
        <v>1</v>
      </c>
      <c r="V8" s="37" t="s">
        <v>684</v>
      </c>
      <c r="Y8" s="104"/>
    </row>
    <row r="9" spans="1:25" s="86" customFormat="1" ht="21" customHeight="1" x14ac:dyDescent="0.15">
      <c r="A9" s="50">
        <f t="shared" si="3"/>
        <v>6</v>
      </c>
      <c r="B9" s="363">
        <v>6</v>
      </c>
      <c r="C9" s="50">
        <v>7</v>
      </c>
      <c r="D9" s="50">
        <v>3</v>
      </c>
      <c r="E9" s="87" t="s">
        <v>740</v>
      </c>
      <c r="F9" s="278" t="s">
        <v>873</v>
      </c>
      <c r="G9" s="92">
        <v>14</v>
      </c>
      <c r="H9" s="37" t="str">
        <f>VLOOKUP(G9,祭礼会計コード!$C$2:$D$43,2,FALSE)</f>
        <v>連合渡御諸経費</v>
      </c>
      <c r="I9" s="273" t="s">
        <v>871</v>
      </c>
      <c r="J9" s="276">
        <v>16500</v>
      </c>
      <c r="K9" s="276"/>
      <c r="L9" s="50" t="s">
        <v>872</v>
      </c>
      <c r="M9" s="284">
        <f ca="1">OFFSET(M9,-1,0)+K9-J9</f>
        <v>21535</v>
      </c>
      <c r="N9" s="284">
        <f t="shared" ref="N9:T10" ca="1" si="8">IF($L9=N$2,OFFSET(N9,-1,0)+$K9-$J9,OFFSET(N9,-1,0))</f>
        <v>1907</v>
      </c>
      <c r="O9" s="284">
        <f t="shared" ca="1" si="8"/>
        <v>38128</v>
      </c>
      <c r="P9" s="284">
        <f t="shared" ca="1" si="8"/>
        <v>0</v>
      </c>
      <c r="Q9" s="284">
        <f t="shared" ca="1" si="8"/>
        <v>-16500</v>
      </c>
      <c r="R9" s="284">
        <f t="shared" ca="1" si="8"/>
        <v>-2000</v>
      </c>
      <c r="S9" s="284">
        <f t="shared" ca="1" si="8"/>
        <v>0</v>
      </c>
      <c r="T9" s="284">
        <f t="shared" ca="1" si="8"/>
        <v>0</v>
      </c>
      <c r="U9" s="92" t="b">
        <f t="shared" ref="U9" ca="1" si="9">M9=SUM(N9:T9)</f>
        <v>1</v>
      </c>
      <c r="V9" s="88"/>
      <c r="X9" s="277"/>
    </row>
    <row r="10" spans="1:25" s="86" customFormat="1" ht="21" customHeight="1" x14ac:dyDescent="0.15">
      <c r="A10" s="50">
        <f t="shared" si="3"/>
        <v>7</v>
      </c>
      <c r="B10" s="50">
        <v>6</v>
      </c>
      <c r="C10" s="50">
        <v>7</v>
      </c>
      <c r="D10" s="50">
        <v>3</v>
      </c>
      <c r="E10" s="50"/>
      <c r="F10" s="278" t="s">
        <v>691</v>
      </c>
      <c r="G10" s="92">
        <v>6</v>
      </c>
      <c r="H10" s="37" t="str">
        <f>VLOOKUP(G10,祭礼会計コード!$C$2:$D$43,2,FALSE)</f>
        <v>消耗品費</v>
      </c>
      <c r="I10" s="273" t="s">
        <v>692</v>
      </c>
      <c r="J10" s="276">
        <v>4743</v>
      </c>
      <c r="K10" s="276"/>
      <c r="L10" s="50" t="s">
        <v>191</v>
      </c>
      <c r="M10" s="284">
        <f ca="1">OFFSET(M10,-1,0)+K10-J10</f>
        <v>16792</v>
      </c>
      <c r="N10" s="284">
        <f t="shared" ca="1" si="8"/>
        <v>1907</v>
      </c>
      <c r="O10" s="284">
        <f t="shared" ca="1" si="8"/>
        <v>38128</v>
      </c>
      <c r="P10" s="284">
        <f t="shared" ca="1" si="8"/>
        <v>0</v>
      </c>
      <c r="Q10" s="284">
        <f t="shared" ca="1" si="8"/>
        <v>-16500</v>
      </c>
      <c r="R10" s="284">
        <f t="shared" ca="1" si="8"/>
        <v>-6743</v>
      </c>
      <c r="S10" s="284">
        <f t="shared" ca="1" si="8"/>
        <v>0</v>
      </c>
      <c r="T10" s="284">
        <f t="shared" ca="1" si="8"/>
        <v>0</v>
      </c>
      <c r="U10" s="92" t="b">
        <f t="shared" ref="U10" ca="1" si="10">M10=SUM(N10:T10)</f>
        <v>1</v>
      </c>
      <c r="V10" s="88"/>
      <c r="X10" s="277"/>
    </row>
    <row r="11" spans="1:25" s="100" customFormat="1" ht="21" customHeight="1" x14ac:dyDescent="0.15">
      <c r="A11" s="41">
        <f t="shared" si="3"/>
        <v>8</v>
      </c>
      <c r="B11" s="41">
        <v>6</v>
      </c>
      <c r="C11" s="41">
        <v>7</v>
      </c>
      <c r="D11" s="41">
        <v>5</v>
      </c>
      <c r="E11" s="41"/>
      <c r="F11" s="78" t="s">
        <v>654</v>
      </c>
      <c r="G11" s="92">
        <v>6</v>
      </c>
      <c r="H11" s="37" t="str">
        <f>VLOOKUP(G11,祭礼会計コード!$C$2:$D$43,2,FALSE)</f>
        <v>消耗品費</v>
      </c>
      <c r="I11" s="273" t="s">
        <v>31</v>
      </c>
      <c r="J11" s="101">
        <v>49513</v>
      </c>
      <c r="K11" s="101"/>
      <c r="L11" s="50" t="s">
        <v>867</v>
      </c>
      <c r="M11" s="103">
        <f t="shared" ca="1" si="4"/>
        <v>-32721</v>
      </c>
      <c r="N11" s="103">
        <f t="shared" ca="1" si="5"/>
        <v>1907</v>
      </c>
      <c r="O11" s="103">
        <f t="shared" ca="1" si="5"/>
        <v>-11385</v>
      </c>
      <c r="P11" s="103">
        <f t="shared" ca="1" si="5"/>
        <v>0</v>
      </c>
      <c r="Q11" s="103">
        <f t="shared" ca="1" si="5"/>
        <v>-16500</v>
      </c>
      <c r="R11" s="103">
        <f t="shared" ca="1" si="5"/>
        <v>-6743</v>
      </c>
      <c r="S11" s="103">
        <f t="shared" ca="1" si="5"/>
        <v>0</v>
      </c>
      <c r="T11" s="103">
        <f t="shared" ca="1" si="1"/>
        <v>0</v>
      </c>
      <c r="U11" s="102" t="b">
        <f t="shared" ref="U11" ca="1" si="11">M11=SUM(N11:T11)</f>
        <v>1</v>
      </c>
      <c r="V11" s="37" t="s">
        <v>684</v>
      </c>
      <c r="Y11" s="104"/>
    </row>
    <row r="12" spans="1:25" s="86" customFormat="1" ht="21" customHeight="1" x14ac:dyDescent="0.15">
      <c r="A12" s="50">
        <f t="shared" si="3"/>
        <v>9</v>
      </c>
      <c r="B12" s="41">
        <v>6</v>
      </c>
      <c r="C12" s="50">
        <v>7</v>
      </c>
      <c r="D12" s="50">
        <v>8</v>
      </c>
      <c r="E12" s="50"/>
      <c r="F12" s="278" t="s">
        <v>683</v>
      </c>
      <c r="G12" s="92">
        <v>6</v>
      </c>
      <c r="H12" s="37" t="str">
        <f>VLOOKUP(G12,祭礼会計コード!$C$2:$D$43,2,FALSE)</f>
        <v>消耗品費</v>
      </c>
      <c r="I12" s="273" t="s">
        <v>162</v>
      </c>
      <c r="J12" s="276">
        <v>2280</v>
      </c>
      <c r="K12" s="276"/>
      <c r="L12" s="50" t="s">
        <v>191</v>
      </c>
      <c r="M12" s="284">
        <f t="shared" ca="1" si="4"/>
        <v>-35001</v>
      </c>
      <c r="N12" s="284">
        <f t="shared" ca="1" si="5"/>
        <v>1907</v>
      </c>
      <c r="O12" s="284">
        <f t="shared" ca="1" si="5"/>
        <v>-11385</v>
      </c>
      <c r="P12" s="284">
        <f t="shared" ca="1" si="5"/>
        <v>0</v>
      </c>
      <c r="Q12" s="284">
        <f t="shared" ca="1" si="5"/>
        <v>-16500</v>
      </c>
      <c r="R12" s="284">
        <f t="shared" ca="1" si="5"/>
        <v>-9023</v>
      </c>
      <c r="S12" s="284">
        <f t="shared" ca="1" si="5"/>
        <v>0</v>
      </c>
      <c r="T12" s="284">
        <f t="shared" ca="1" si="1"/>
        <v>0</v>
      </c>
      <c r="U12" s="92" t="b">
        <f t="shared" ref="U12" ca="1" si="12">M12=SUM(N12:T12)</f>
        <v>1</v>
      </c>
      <c r="V12" s="88"/>
      <c r="X12" s="277"/>
    </row>
    <row r="13" spans="1:25" s="100" customFormat="1" ht="21" customHeight="1" x14ac:dyDescent="0.15">
      <c r="A13" s="396">
        <f t="shared" si="3"/>
        <v>10</v>
      </c>
      <c r="B13" s="396">
        <v>6</v>
      </c>
      <c r="C13" s="396">
        <v>7</v>
      </c>
      <c r="D13" s="396">
        <v>8</v>
      </c>
      <c r="E13" s="396"/>
      <c r="F13" s="397" t="s">
        <v>858</v>
      </c>
      <c r="G13" s="396" t="s">
        <v>865</v>
      </c>
      <c r="H13" s="397" t="s">
        <v>866</v>
      </c>
      <c r="I13" s="397" t="s">
        <v>859</v>
      </c>
      <c r="J13" s="398"/>
      <c r="K13" s="398">
        <v>400000</v>
      </c>
      <c r="L13" s="399" t="s">
        <v>659</v>
      </c>
      <c r="M13" s="103">
        <f t="shared" ca="1" si="4"/>
        <v>364999</v>
      </c>
      <c r="N13" s="103">
        <f t="shared" ca="1" si="5"/>
        <v>1907</v>
      </c>
      <c r="O13" s="103">
        <f t="shared" ca="1" si="5"/>
        <v>-11385</v>
      </c>
      <c r="P13" s="103">
        <f t="shared" ca="1" si="5"/>
        <v>400000</v>
      </c>
      <c r="Q13" s="103">
        <f t="shared" ca="1" si="5"/>
        <v>-16500</v>
      </c>
      <c r="R13" s="103">
        <f t="shared" ca="1" si="5"/>
        <v>-9023</v>
      </c>
      <c r="S13" s="103">
        <f t="shared" ca="1" si="5"/>
        <v>0</v>
      </c>
      <c r="T13" s="103">
        <f t="shared" ca="1" si="1"/>
        <v>0</v>
      </c>
      <c r="U13" s="102" t="b">
        <f t="shared" ca="1" si="2"/>
        <v>1</v>
      </c>
      <c r="V13" s="397" t="s">
        <v>931</v>
      </c>
      <c r="Y13" s="104"/>
    </row>
    <row r="14" spans="1:25" s="100" customFormat="1" ht="21" customHeight="1" x14ac:dyDescent="0.15">
      <c r="A14" s="98">
        <f t="shared" si="3"/>
        <v>11</v>
      </c>
      <c r="B14" s="98">
        <v>6</v>
      </c>
      <c r="C14" s="98">
        <v>7</v>
      </c>
      <c r="D14" s="98">
        <v>8</v>
      </c>
      <c r="E14" s="98"/>
      <c r="F14" s="99" t="s">
        <v>669</v>
      </c>
      <c r="G14" s="98" t="s">
        <v>936</v>
      </c>
      <c r="H14" s="99"/>
      <c r="I14" s="285" t="s">
        <v>926</v>
      </c>
      <c r="J14" s="255">
        <v>100000</v>
      </c>
      <c r="K14" s="255"/>
      <c r="L14" s="280" t="s">
        <v>659</v>
      </c>
      <c r="M14" s="103">
        <f t="shared" ca="1" si="4"/>
        <v>264999</v>
      </c>
      <c r="N14" s="103">
        <f t="shared" ca="1" si="5"/>
        <v>1907</v>
      </c>
      <c r="O14" s="103">
        <f t="shared" ca="1" si="5"/>
        <v>-11385</v>
      </c>
      <c r="P14" s="103">
        <f t="shared" ca="1" si="5"/>
        <v>300000</v>
      </c>
      <c r="Q14" s="103">
        <f t="shared" ca="1" si="5"/>
        <v>-16500</v>
      </c>
      <c r="R14" s="103">
        <f t="shared" ca="1" si="5"/>
        <v>-9023</v>
      </c>
      <c r="S14" s="103">
        <f t="shared" ca="1" si="5"/>
        <v>0</v>
      </c>
      <c r="T14" s="103">
        <f t="shared" ca="1" si="1"/>
        <v>0</v>
      </c>
      <c r="U14" s="102" t="b">
        <f t="shared" ca="1" si="2"/>
        <v>1</v>
      </c>
      <c r="V14" s="99"/>
      <c r="Y14" s="104"/>
    </row>
    <row r="15" spans="1:25" s="100" customFormat="1" ht="21" customHeight="1" x14ac:dyDescent="0.15">
      <c r="A15" s="98">
        <f t="shared" si="3"/>
        <v>12</v>
      </c>
      <c r="B15" s="98">
        <v>6</v>
      </c>
      <c r="C15" s="98">
        <v>7</v>
      </c>
      <c r="D15" s="98">
        <v>8</v>
      </c>
      <c r="E15" s="98"/>
      <c r="F15" s="99" t="s">
        <v>669</v>
      </c>
      <c r="G15" s="98" t="s">
        <v>865</v>
      </c>
      <c r="H15" s="99"/>
      <c r="I15" s="285" t="s">
        <v>927</v>
      </c>
      <c r="J15" s="255"/>
      <c r="K15" s="255">
        <v>100000</v>
      </c>
      <c r="L15" s="280" t="s">
        <v>703</v>
      </c>
      <c r="M15" s="103">
        <f t="shared" ca="1" si="4"/>
        <v>364999</v>
      </c>
      <c r="N15" s="103">
        <f t="shared" ca="1" si="5"/>
        <v>1907</v>
      </c>
      <c r="O15" s="103">
        <f t="shared" ca="1" si="5"/>
        <v>-11385</v>
      </c>
      <c r="P15" s="103">
        <f t="shared" ca="1" si="5"/>
        <v>300000</v>
      </c>
      <c r="Q15" s="103">
        <f t="shared" ca="1" si="5"/>
        <v>-16500</v>
      </c>
      <c r="R15" s="103">
        <f t="shared" ca="1" si="5"/>
        <v>-9023</v>
      </c>
      <c r="S15" s="103">
        <f t="shared" ca="1" si="5"/>
        <v>100000</v>
      </c>
      <c r="T15" s="103">
        <f t="shared" ca="1" si="1"/>
        <v>0</v>
      </c>
      <c r="U15" s="102" t="b">
        <f t="shared" ca="1" si="2"/>
        <v>1</v>
      </c>
      <c r="V15" s="99"/>
      <c r="Y15" s="104"/>
    </row>
    <row r="16" spans="1:25" s="86" customFormat="1" ht="21" customHeight="1" x14ac:dyDescent="0.15">
      <c r="A16" s="50">
        <f t="shared" si="3"/>
        <v>13</v>
      </c>
      <c r="B16" s="50">
        <v>6</v>
      </c>
      <c r="C16" s="50">
        <v>7</v>
      </c>
      <c r="D16" s="50">
        <v>8</v>
      </c>
      <c r="E16" s="50"/>
      <c r="F16" s="278" t="s">
        <v>732</v>
      </c>
      <c r="G16" s="92">
        <v>1</v>
      </c>
      <c r="H16" s="37" t="str">
        <f>VLOOKUP(G16,祭礼会計コード!$C$2:$D$43,2,FALSE)</f>
        <v>飲物・食物費</v>
      </c>
      <c r="I16" s="273" t="s">
        <v>141</v>
      </c>
      <c r="J16" s="276">
        <v>61617</v>
      </c>
      <c r="K16" s="276"/>
      <c r="L16" s="92" t="s">
        <v>659</v>
      </c>
      <c r="M16" s="103">
        <f ca="1">OFFSET(M16,-1,0)+K16-J16</f>
        <v>303382</v>
      </c>
      <c r="N16" s="103">
        <f t="shared" ref="N16:T21" ca="1" si="13">IF($L16=N$2,OFFSET(N16,-1,0)+$K16-$J16,OFFSET(N16,-1,0))</f>
        <v>1907</v>
      </c>
      <c r="O16" s="103">
        <f t="shared" ca="1" si="13"/>
        <v>-11385</v>
      </c>
      <c r="P16" s="103">
        <f t="shared" ca="1" si="13"/>
        <v>238383</v>
      </c>
      <c r="Q16" s="103">
        <f t="shared" ca="1" si="13"/>
        <v>-16500</v>
      </c>
      <c r="R16" s="103">
        <f t="shared" ca="1" si="13"/>
        <v>-9023</v>
      </c>
      <c r="S16" s="103">
        <f t="shared" ca="1" si="13"/>
        <v>100000</v>
      </c>
      <c r="T16" s="103">
        <f t="shared" ca="1" si="13"/>
        <v>0</v>
      </c>
      <c r="U16" s="92" t="b">
        <f t="shared" ref="U16:U18" ca="1" si="14">M16=SUM(N16:T16)</f>
        <v>1</v>
      </c>
      <c r="V16" s="37" t="s">
        <v>735</v>
      </c>
      <c r="X16" s="277"/>
    </row>
    <row r="17" spans="1:25" s="86" customFormat="1" ht="21" customHeight="1" x14ac:dyDescent="0.15">
      <c r="A17" s="50">
        <f t="shared" si="3"/>
        <v>14</v>
      </c>
      <c r="B17" s="50">
        <v>6</v>
      </c>
      <c r="C17" s="50">
        <v>7</v>
      </c>
      <c r="D17" s="50">
        <v>8</v>
      </c>
      <c r="E17" s="50"/>
      <c r="F17" s="278" t="s">
        <v>589</v>
      </c>
      <c r="G17" s="92">
        <v>5</v>
      </c>
      <c r="H17" s="37" t="str">
        <f>VLOOKUP(G17,祭礼会計コード!$C$2:$D$43,2,FALSE)</f>
        <v>渉外費</v>
      </c>
      <c r="I17" s="273" t="s">
        <v>141</v>
      </c>
      <c r="J17" s="276">
        <v>9893</v>
      </c>
      <c r="K17" s="276"/>
      <c r="L17" s="92" t="s">
        <v>659</v>
      </c>
      <c r="M17" s="103">
        <f ca="1">OFFSET(M17,-1,0)+K17-J17</f>
        <v>293489</v>
      </c>
      <c r="N17" s="103">
        <f t="shared" ca="1" si="13"/>
        <v>1907</v>
      </c>
      <c r="O17" s="103">
        <f t="shared" ca="1" si="13"/>
        <v>-11385</v>
      </c>
      <c r="P17" s="103">
        <f t="shared" ca="1" si="13"/>
        <v>228490</v>
      </c>
      <c r="Q17" s="103">
        <f t="shared" ca="1" si="13"/>
        <v>-16500</v>
      </c>
      <c r="R17" s="103">
        <f t="shared" ca="1" si="13"/>
        <v>-9023</v>
      </c>
      <c r="S17" s="103">
        <f t="shared" ca="1" si="13"/>
        <v>100000</v>
      </c>
      <c r="T17" s="103">
        <f t="shared" ca="1" si="13"/>
        <v>0</v>
      </c>
      <c r="U17" s="92" t="b">
        <f t="shared" ref="U17" ca="1" si="15">M17=SUM(N17:T17)</f>
        <v>1</v>
      </c>
      <c r="V17" s="37" t="s">
        <v>736</v>
      </c>
      <c r="X17" s="277"/>
    </row>
    <row r="18" spans="1:25" s="100" customFormat="1" ht="21" customHeight="1" x14ac:dyDescent="0.15">
      <c r="A18" s="41">
        <f t="shared" si="3"/>
        <v>15</v>
      </c>
      <c r="B18" s="41">
        <v>6</v>
      </c>
      <c r="C18" s="41">
        <v>7</v>
      </c>
      <c r="D18" s="41">
        <v>11</v>
      </c>
      <c r="E18" s="41"/>
      <c r="F18" s="78" t="s">
        <v>686</v>
      </c>
      <c r="G18" s="92">
        <v>1</v>
      </c>
      <c r="H18" s="37" t="str">
        <f>VLOOKUP(G18,祭礼会計コード!$C$2:$D$43,2,FALSE)</f>
        <v>飲物・食物費</v>
      </c>
      <c r="I18" s="273" t="s">
        <v>687</v>
      </c>
      <c r="J18" s="101">
        <v>4268</v>
      </c>
      <c r="K18" s="101"/>
      <c r="L18" s="50" t="s">
        <v>191</v>
      </c>
      <c r="M18" s="103">
        <f t="shared" ref="M18" ca="1" si="16">OFFSET(M18,-1,0)+K18-J18</f>
        <v>289221</v>
      </c>
      <c r="N18" s="103">
        <f t="shared" ca="1" si="13"/>
        <v>1907</v>
      </c>
      <c r="O18" s="103">
        <f t="shared" ca="1" si="13"/>
        <v>-11385</v>
      </c>
      <c r="P18" s="103">
        <f t="shared" ca="1" si="13"/>
        <v>228490</v>
      </c>
      <c r="Q18" s="103">
        <f t="shared" ca="1" si="13"/>
        <v>-16500</v>
      </c>
      <c r="R18" s="103">
        <f t="shared" ca="1" si="13"/>
        <v>-13291</v>
      </c>
      <c r="S18" s="103">
        <f t="shared" ca="1" si="13"/>
        <v>100000</v>
      </c>
      <c r="T18" s="103">
        <f t="shared" ca="1" si="13"/>
        <v>0</v>
      </c>
      <c r="U18" s="102" t="b">
        <f t="shared" ca="1" si="14"/>
        <v>1</v>
      </c>
      <c r="V18" s="37"/>
      <c r="Y18" s="104"/>
    </row>
    <row r="19" spans="1:25" s="100" customFormat="1" ht="21" customHeight="1" x14ac:dyDescent="0.15">
      <c r="A19" s="41">
        <f t="shared" si="3"/>
        <v>16</v>
      </c>
      <c r="B19" s="41">
        <v>6</v>
      </c>
      <c r="C19" s="41">
        <v>7</v>
      </c>
      <c r="D19" s="41">
        <v>11</v>
      </c>
      <c r="E19" s="41"/>
      <c r="F19" s="78" t="s">
        <v>650</v>
      </c>
      <c r="G19" s="41">
        <v>10</v>
      </c>
      <c r="H19" s="37" t="str">
        <f>VLOOKUP(G19,祭礼会計コード!$C$2:$D$43,2,FALSE)</f>
        <v>寄附金等への返礼費</v>
      </c>
      <c r="I19" s="273" t="s">
        <v>32</v>
      </c>
      <c r="J19" s="101">
        <v>1192</v>
      </c>
      <c r="K19" s="101"/>
      <c r="L19" s="50" t="s">
        <v>867</v>
      </c>
      <c r="M19" s="103">
        <f ca="1">OFFSET(M19,-1,0)+K19-J19</f>
        <v>288029</v>
      </c>
      <c r="N19" s="103">
        <f t="shared" ca="1" si="13"/>
        <v>1907</v>
      </c>
      <c r="O19" s="103">
        <f t="shared" ca="1" si="13"/>
        <v>-12577</v>
      </c>
      <c r="P19" s="103">
        <f t="shared" ca="1" si="13"/>
        <v>228490</v>
      </c>
      <c r="Q19" s="103">
        <f t="shared" ca="1" si="13"/>
        <v>-16500</v>
      </c>
      <c r="R19" s="103">
        <f t="shared" ca="1" si="13"/>
        <v>-13291</v>
      </c>
      <c r="S19" s="103">
        <f t="shared" ca="1" si="13"/>
        <v>100000</v>
      </c>
      <c r="T19" s="103">
        <f t="shared" ca="1" si="13"/>
        <v>0</v>
      </c>
      <c r="U19" s="102" t="b">
        <f t="shared" ref="U19" ca="1" si="17">M19=SUM(N19:T19)</f>
        <v>1</v>
      </c>
      <c r="V19" s="37" t="s">
        <v>684</v>
      </c>
      <c r="Y19" s="104"/>
    </row>
    <row r="20" spans="1:25" s="86" customFormat="1" ht="21" customHeight="1" x14ac:dyDescent="0.15">
      <c r="A20" s="50">
        <f t="shared" si="3"/>
        <v>17</v>
      </c>
      <c r="B20" s="50">
        <v>6</v>
      </c>
      <c r="C20" s="50">
        <v>7</v>
      </c>
      <c r="D20" s="50">
        <v>12</v>
      </c>
      <c r="E20" s="50"/>
      <c r="F20" s="278" t="s">
        <v>353</v>
      </c>
      <c r="G20" s="92">
        <v>6</v>
      </c>
      <c r="H20" s="37" t="str">
        <f>VLOOKUP(G20,祭礼会計コード!$C$2:$D$43,2,FALSE)</f>
        <v>消耗品費</v>
      </c>
      <c r="I20" s="273" t="s">
        <v>167</v>
      </c>
      <c r="J20" s="276">
        <v>7000</v>
      </c>
      <c r="K20" s="276"/>
      <c r="L20" s="50" t="s">
        <v>191</v>
      </c>
      <c r="M20" s="284">
        <f ca="1">OFFSET(M20,-1,0)+K20-J20</f>
        <v>281029</v>
      </c>
      <c r="N20" s="284">
        <f t="shared" ca="1" si="13"/>
        <v>1907</v>
      </c>
      <c r="O20" s="284">
        <f t="shared" ca="1" si="13"/>
        <v>-12577</v>
      </c>
      <c r="P20" s="284">
        <f t="shared" ca="1" si="13"/>
        <v>228490</v>
      </c>
      <c r="Q20" s="284">
        <f t="shared" ca="1" si="13"/>
        <v>-16500</v>
      </c>
      <c r="R20" s="284">
        <f t="shared" ca="1" si="13"/>
        <v>-20291</v>
      </c>
      <c r="S20" s="284">
        <f t="shared" ca="1" si="13"/>
        <v>100000</v>
      </c>
      <c r="T20" s="284">
        <f t="shared" ca="1" si="13"/>
        <v>0</v>
      </c>
      <c r="U20" s="92" t="b">
        <f t="shared" ref="U20" ca="1" si="18">M20=SUM(N20:T20)</f>
        <v>1</v>
      </c>
      <c r="V20" s="88"/>
      <c r="X20" s="277"/>
    </row>
    <row r="21" spans="1:25" s="86" customFormat="1" ht="21" customHeight="1" x14ac:dyDescent="0.15">
      <c r="A21" s="50">
        <f t="shared" si="3"/>
        <v>18</v>
      </c>
      <c r="B21" s="50">
        <v>6</v>
      </c>
      <c r="C21" s="50">
        <v>7</v>
      </c>
      <c r="D21" s="50">
        <v>12</v>
      </c>
      <c r="E21" s="50"/>
      <c r="F21" s="278" t="s">
        <v>689</v>
      </c>
      <c r="G21" s="92">
        <v>6</v>
      </c>
      <c r="H21" s="37" t="str">
        <f>VLOOKUP(G21,祭礼会計コード!$C$2:$D$43,2,FALSE)</f>
        <v>消耗品費</v>
      </c>
      <c r="I21" s="273" t="s">
        <v>688</v>
      </c>
      <c r="J21" s="276">
        <v>3300</v>
      </c>
      <c r="K21" s="276"/>
      <c r="L21" s="50" t="s">
        <v>191</v>
      </c>
      <c r="M21" s="284">
        <f ca="1">OFFSET(M21,-1,0)+K21-J21</f>
        <v>277729</v>
      </c>
      <c r="N21" s="284">
        <f t="shared" ca="1" si="13"/>
        <v>1907</v>
      </c>
      <c r="O21" s="284">
        <f t="shared" ca="1" si="13"/>
        <v>-12577</v>
      </c>
      <c r="P21" s="284">
        <f t="shared" ca="1" si="13"/>
        <v>228490</v>
      </c>
      <c r="Q21" s="284">
        <f t="shared" ca="1" si="13"/>
        <v>-16500</v>
      </c>
      <c r="R21" s="284">
        <f t="shared" ca="1" si="13"/>
        <v>-23591</v>
      </c>
      <c r="S21" s="284">
        <f t="shared" ca="1" si="13"/>
        <v>100000</v>
      </c>
      <c r="T21" s="284">
        <f t="shared" ca="1" si="13"/>
        <v>0</v>
      </c>
      <c r="U21" s="92" t="b">
        <f t="shared" ref="U21" ca="1" si="19">M21=SUM(N21:T21)</f>
        <v>1</v>
      </c>
      <c r="V21" s="88" t="s">
        <v>690</v>
      </c>
      <c r="X21" s="277"/>
    </row>
    <row r="22" spans="1:25" s="86" customFormat="1" ht="21" customHeight="1" x14ac:dyDescent="0.15">
      <c r="A22" s="50">
        <f t="shared" si="3"/>
        <v>19</v>
      </c>
      <c r="B22" s="50">
        <v>6</v>
      </c>
      <c r="C22" s="50">
        <v>7</v>
      </c>
      <c r="D22" s="50">
        <v>14</v>
      </c>
      <c r="E22" s="50"/>
      <c r="F22" s="278" t="s">
        <v>922</v>
      </c>
      <c r="G22" s="92">
        <v>7</v>
      </c>
      <c r="H22" s="37" t="str">
        <f>VLOOKUP(G22,祭礼会計コード!$C$2:$D$43,2,FALSE)</f>
        <v>神輿準備・片付け費</v>
      </c>
      <c r="I22" s="273" t="s">
        <v>693</v>
      </c>
      <c r="J22" s="276">
        <v>15180</v>
      </c>
      <c r="K22" s="276"/>
      <c r="L22" s="50" t="s">
        <v>191</v>
      </c>
      <c r="M22" s="284">
        <f t="shared" ref="M22" ca="1" si="20">OFFSET(M22,-1,0)+K22-J22</f>
        <v>262549</v>
      </c>
      <c r="N22" s="284">
        <f t="shared" ref="N22:S22" ca="1" si="21">IF($L22=N$2,OFFSET(N22,-1,0)+$K22-$J22,OFFSET(N22,-1,0))</f>
        <v>1907</v>
      </c>
      <c r="O22" s="284">
        <f t="shared" ca="1" si="21"/>
        <v>-12577</v>
      </c>
      <c r="P22" s="284">
        <f t="shared" ca="1" si="21"/>
        <v>228490</v>
      </c>
      <c r="Q22" s="284">
        <f t="shared" ca="1" si="21"/>
        <v>-16500</v>
      </c>
      <c r="R22" s="284">
        <f t="shared" ca="1" si="21"/>
        <v>-38771</v>
      </c>
      <c r="S22" s="284">
        <f t="shared" ca="1" si="21"/>
        <v>100000</v>
      </c>
      <c r="T22" s="284">
        <f t="shared" ca="1" si="1"/>
        <v>0</v>
      </c>
      <c r="U22" s="92" t="b">
        <f t="shared" ref="U22" ca="1" si="22">M22=SUM(N22:T22)</f>
        <v>1</v>
      </c>
      <c r="V22" s="88" t="s">
        <v>694</v>
      </c>
      <c r="X22" s="277"/>
    </row>
    <row r="23" spans="1:25" s="86" customFormat="1" ht="21" customHeight="1" x14ac:dyDescent="0.15">
      <c r="A23" s="50">
        <f t="shared" si="3"/>
        <v>20</v>
      </c>
      <c r="B23" s="50">
        <v>6</v>
      </c>
      <c r="C23" s="50">
        <v>7</v>
      </c>
      <c r="D23" s="50">
        <v>14</v>
      </c>
      <c r="E23" s="50"/>
      <c r="F23" s="78" t="s">
        <v>38</v>
      </c>
      <c r="G23" s="92" t="s">
        <v>224</v>
      </c>
      <c r="H23" s="37" t="str">
        <f>VLOOKUP(G23,祭礼会計コード!$C$2:$D$43,2,FALSE)</f>
        <v>会員寄付金</v>
      </c>
      <c r="I23" s="273" t="s">
        <v>40</v>
      </c>
      <c r="J23" s="276"/>
      <c r="K23" s="276">
        <v>475000</v>
      </c>
      <c r="L23" s="92" t="s">
        <v>659</v>
      </c>
      <c r="M23" s="103">
        <f t="shared" ca="1" si="4"/>
        <v>737549</v>
      </c>
      <c r="N23" s="103">
        <f t="shared" ca="1" si="5"/>
        <v>1907</v>
      </c>
      <c r="O23" s="103">
        <f t="shared" ca="1" si="5"/>
        <v>-12577</v>
      </c>
      <c r="P23" s="103">
        <f t="shared" ca="1" si="5"/>
        <v>703490</v>
      </c>
      <c r="Q23" s="103">
        <f t="shared" ca="1" si="5"/>
        <v>-16500</v>
      </c>
      <c r="R23" s="103">
        <f t="shared" ca="1" si="5"/>
        <v>-38771</v>
      </c>
      <c r="S23" s="103">
        <f t="shared" ca="1" si="5"/>
        <v>100000</v>
      </c>
      <c r="T23" s="103">
        <f t="shared" ca="1" si="1"/>
        <v>0</v>
      </c>
      <c r="U23" s="92" t="b">
        <f t="shared" ref="U23" ca="1" si="23">M23=SUM(N23:T23)</f>
        <v>1</v>
      </c>
      <c r="V23" s="88" t="s">
        <v>856</v>
      </c>
      <c r="X23" s="277"/>
    </row>
    <row r="24" spans="1:25" s="86" customFormat="1" ht="21" customHeight="1" x14ac:dyDescent="0.15">
      <c r="A24" s="50">
        <f t="shared" si="3"/>
        <v>21</v>
      </c>
      <c r="B24" s="50">
        <v>6</v>
      </c>
      <c r="C24" s="50">
        <v>7</v>
      </c>
      <c r="D24" s="50">
        <v>14</v>
      </c>
      <c r="E24" s="50"/>
      <c r="F24" s="278" t="s">
        <v>41</v>
      </c>
      <c r="G24" s="92" t="s">
        <v>225</v>
      </c>
      <c r="H24" s="37" t="str">
        <f>VLOOKUP(G24,祭礼会計コード!$C$2:$D$43,2,FALSE)</f>
        <v>奉納金</v>
      </c>
      <c r="I24" s="279" t="s">
        <v>660</v>
      </c>
      <c r="J24" s="276"/>
      <c r="K24" s="276">
        <v>12000</v>
      </c>
      <c r="L24" s="92" t="s">
        <v>659</v>
      </c>
      <c r="M24" s="103">
        <f t="shared" ca="1" si="4"/>
        <v>749549</v>
      </c>
      <c r="N24" s="103">
        <f t="shared" ca="1" si="5"/>
        <v>1907</v>
      </c>
      <c r="O24" s="103">
        <f t="shared" ca="1" si="5"/>
        <v>-12577</v>
      </c>
      <c r="P24" s="103">
        <f t="shared" ca="1" si="5"/>
        <v>715490</v>
      </c>
      <c r="Q24" s="103">
        <f t="shared" ca="1" si="5"/>
        <v>-16500</v>
      </c>
      <c r="R24" s="103">
        <f t="shared" ca="1" si="5"/>
        <v>-38771</v>
      </c>
      <c r="S24" s="103">
        <f t="shared" ca="1" si="5"/>
        <v>100000</v>
      </c>
      <c r="T24" s="103">
        <f t="shared" ca="1" si="1"/>
        <v>0</v>
      </c>
      <c r="U24" s="92" t="b">
        <f ca="1">M24=SUM(N24:T24)</f>
        <v>1</v>
      </c>
      <c r="V24" s="88" t="s">
        <v>737</v>
      </c>
      <c r="X24" s="277"/>
    </row>
    <row r="25" spans="1:25" s="100" customFormat="1" ht="21" customHeight="1" x14ac:dyDescent="0.15">
      <c r="A25" s="98">
        <f t="shared" si="3"/>
        <v>22</v>
      </c>
      <c r="B25" s="98">
        <v>6</v>
      </c>
      <c r="C25" s="98">
        <v>7</v>
      </c>
      <c r="D25" s="98">
        <v>14</v>
      </c>
      <c r="E25" s="98"/>
      <c r="F25" s="99" t="s">
        <v>669</v>
      </c>
      <c r="G25" s="98" t="s">
        <v>936</v>
      </c>
      <c r="H25" s="99"/>
      <c r="I25" s="285" t="s">
        <v>704</v>
      </c>
      <c r="J25" s="255">
        <v>250000</v>
      </c>
      <c r="K25" s="255"/>
      <c r="L25" s="280" t="s">
        <v>659</v>
      </c>
      <c r="M25" s="103">
        <f ca="1">OFFSET(M25,-1,0)+K25-J25</f>
        <v>499549</v>
      </c>
      <c r="N25" s="103">
        <f t="shared" ref="N25:T26" ca="1" si="24">IF($L25=N$2,OFFSET(N25,-1,0)+$K25-$J25,OFFSET(N25,-1,0))</f>
        <v>1907</v>
      </c>
      <c r="O25" s="103">
        <f t="shared" ca="1" si="24"/>
        <v>-12577</v>
      </c>
      <c r="P25" s="103">
        <f t="shared" ca="1" si="24"/>
        <v>465490</v>
      </c>
      <c r="Q25" s="103">
        <f t="shared" ca="1" si="24"/>
        <v>-16500</v>
      </c>
      <c r="R25" s="103">
        <f t="shared" ca="1" si="24"/>
        <v>-38771</v>
      </c>
      <c r="S25" s="103">
        <f t="shared" ca="1" si="24"/>
        <v>100000</v>
      </c>
      <c r="T25" s="103">
        <f t="shared" ca="1" si="24"/>
        <v>0</v>
      </c>
      <c r="U25" s="102" t="b">
        <f t="shared" ca="1" si="2"/>
        <v>1</v>
      </c>
      <c r="V25" s="99"/>
      <c r="Y25" s="104"/>
    </row>
    <row r="26" spans="1:25" s="100" customFormat="1" ht="21" customHeight="1" x14ac:dyDescent="0.15">
      <c r="A26" s="98">
        <f t="shared" si="3"/>
        <v>23</v>
      </c>
      <c r="B26" s="98">
        <v>6</v>
      </c>
      <c r="C26" s="98">
        <v>7</v>
      </c>
      <c r="D26" s="98">
        <v>14</v>
      </c>
      <c r="E26" s="98"/>
      <c r="F26" s="99" t="s">
        <v>669</v>
      </c>
      <c r="G26" s="98" t="s">
        <v>865</v>
      </c>
      <c r="H26" s="99"/>
      <c r="I26" s="285" t="s">
        <v>704</v>
      </c>
      <c r="J26" s="255"/>
      <c r="K26" s="255">
        <v>250000</v>
      </c>
      <c r="L26" s="280" t="s">
        <v>703</v>
      </c>
      <c r="M26" s="103">
        <f ca="1">OFFSET(M26,-1,0)+K26-J26</f>
        <v>749549</v>
      </c>
      <c r="N26" s="103">
        <f t="shared" ca="1" si="24"/>
        <v>1907</v>
      </c>
      <c r="O26" s="103">
        <f t="shared" ca="1" si="24"/>
        <v>-12577</v>
      </c>
      <c r="P26" s="103">
        <f t="shared" ca="1" si="24"/>
        <v>465490</v>
      </c>
      <c r="Q26" s="103">
        <f t="shared" ca="1" si="24"/>
        <v>-16500</v>
      </c>
      <c r="R26" s="103">
        <f t="shared" ca="1" si="24"/>
        <v>-38771</v>
      </c>
      <c r="S26" s="103">
        <f t="shared" ca="1" si="24"/>
        <v>350000</v>
      </c>
      <c r="T26" s="103">
        <f t="shared" ca="1" si="24"/>
        <v>0</v>
      </c>
      <c r="U26" s="102" t="b">
        <f t="shared" ca="1" si="2"/>
        <v>1</v>
      </c>
      <c r="V26" s="99" t="s">
        <v>920</v>
      </c>
      <c r="Y26" s="104"/>
    </row>
    <row r="27" spans="1:25" s="86" customFormat="1" ht="21" customHeight="1" x14ac:dyDescent="0.15">
      <c r="A27" s="50">
        <f t="shared" si="3"/>
        <v>24</v>
      </c>
      <c r="B27" s="50">
        <v>6</v>
      </c>
      <c r="C27" s="50">
        <v>7</v>
      </c>
      <c r="D27" s="50">
        <v>14</v>
      </c>
      <c r="E27" s="50"/>
      <c r="F27" s="78" t="s">
        <v>38</v>
      </c>
      <c r="G27" s="92" t="s">
        <v>224</v>
      </c>
      <c r="H27" s="37" t="str">
        <f>VLOOKUP(G27,祭礼会計コード!$C$2:$D$43,2,FALSE)</f>
        <v>会員寄付金</v>
      </c>
      <c r="I27" s="273" t="s">
        <v>938</v>
      </c>
      <c r="J27" s="276"/>
      <c r="K27" s="276">
        <v>29000</v>
      </c>
      <c r="L27" s="92" t="s">
        <v>659</v>
      </c>
      <c r="M27" s="103">
        <f t="shared" ref="M27" ca="1" si="25">OFFSET(M27,-1,0)+K27-J27</f>
        <v>778549</v>
      </c>
      <c r="N27" s="103">
        <f t="shared" ca="1" si="5"/>
        <v>1907</v>
      </c>
      <c r="O27" s="103">
        <f t="shared" ca="1" si="5"/>
        <v>-12577</v>
      </c>
      <c r="P27" s="103">
        <f t="shared" ca="1" si="5"/>
        <v>494490</v>
      </c>
      <c r="Q27" s="103">
        <f t="shared" ca="1" si="5"/>
        <v>-16500</v>
      </c>
      <c r="R27" s="103">
        <f t="shared" ca="1" si="5"/>
        <v>-38771</v>
      </c>
      <c r="S27" s="103">
        <f t="shared" ca="1" si="5"/>
        <v>350000</v>
      </c>
      <c r="T27" s="103">
        <f t="shared" ca="1" si="1"/>
        <v>0</v>
      </c>
      <c r="U27" s="102" t="b">
        <f t="shared" ca="1" si="2"/>
        <v>1</v>
      </c>
      <c r="V27" s="88" t="s">
        <v>662</v>
      </c>
      <c r="X27" s="277"/>
    </row>
    <row r="28" spans="1:25" s="86" customFormat="1" ht="21" customHeight="1" x14ac:dyDescent="0.15">
      <c r="A28" s="50">
        <f t="shared" si="3"/>
        <v>25</v>
      </c>
      <c r="B28" s="50">
        <v>6</v>
      </c>
      <c r="C28" s="50">
        <v>7</v>
      </c>
      <c r="D28" s="50">
        <v>15</v>
      </c>
      <c r="E28" s="50"/>
      <c r="F28" s="278" t="s">
        <v>695</v>
      </c>
      <c r="G28" s="92">
        <v>6</v>
      </c>
      <c r="H28" s="37" t="str">
        <f>VLOOKUP(G28,祭礼会計コード!$C$2:$D$43,2,FALSE)</f>
        <v>消耗品費</v>
      </c>
      <c r="I28" s="273" t="s">
        <v>32</v>
      </c>
      <c r="J28" s="276">
        <v>3834</v>
      </c>
      <c r="K28" s="276"/>
      <c r="L28" s="50" t="s">
        <v>191</v>
      </c>
      <c r="M28" s="284">
        <f ca="1">OFFSET(M28,-1,0)+K28-J28</f>
        <v>774715</v>
      </c>
      <c r="N28" s="284">
        <f t="shared" ref="N28:T28" ca="1" si="26">IF($L28=N$2,OFFSET(N28,-1,0)+$K28-$J28,OFFSET(N28,-1,0))</f>
        <v>1907</v>
      </c>
      <c r="O28" s="284">
        <f t="shared" ca="1" si="26"/>
        <v>-12577</v>
      </c>
      <c r="P28" s="284">
        <f t="shared" ca="1" si="26"/>
        <v>494490</v>
      </c>
      <c r="Q28" s="284">
        <f t="shared" ca="1" si="26"/>
        <v>-16500</v>
      </c>
      <c r="R28" s="284">
        <f t="shared" ca="1" si="26"/>
        <v>-42605</v>
      </c>
      <c r="S28" s="284">
        <f t="shared" ca="1" si="26"/>
        <v>350000</v>
      </c>
      <c r="T28" s="284">
        <f t="shared" ca="1" si="26"/>
        <v>0</v>
      </c>
      <c r="U28" s="92" t="b">
        <f t="shared" ref="U28" ca="1" si="27">M28=SUM(N28:T28)</f>
        <v>1</v>
      </c>
      <c r="V28" s="88"/>
      <c r="X28" s="277"/>
    </row>
    <row r="29" spans="1:25" s="86" customFormat="1" ht="21" customHeight="1" x14ac:dyDescent="0.15">
      <c r="A29" s="50">
        <f t="shared" si="3"/>
        <v>26</v>
      </c>
      <c r="B29" s="50">
        <v>6</v>
      </c>
      <c r="C29" s="50">
        <v>7</v>
      </c>
      <c r="D29" s="50">
        <v>15</v>
      </c>
      <c r="E29" s="50"/>
      <c r="F29" s="78" t="s">
        <v>38</v>
      </c>
      <c r="G29" s="92" t="s">
        <v>224</v>
      </c>
      <c r="H29" s="37" t="str">
        <f>VLOOKUP(G29,祭礼会計コード!$C$2:$D$43,2,FALSE)</f>
        <v>会員寄付金</v>
      </c>
      <c r="I29" s="273" t="s">
        <v>40</v>
      </c>
      <c r="J29" s="276"/>
      <c r="K29" s="276">
        <v>3000</v>
      </c>
      <c r="L29" s="50" t="s">
        <v>867</v>
      </c>
      <c r="M29" s="103">
        <f t="shared" ca="1" si="4"/>
        <v>777715</v>
      </c>
      <c r="N29" s="103">
        <f t="shared" ca="1" si="5"/>
        <v>1907</v>
      </c>
      <c r="O29" s="103">
        <f t="shared" ca="1" si="5"/>
        <v>-9577</v>
      </c>
      <c r="P29" s="103">
        <f t="shared" ca="1" si="5"/>
        <v>494490</v>
      </c>
      <c r="Q29" s="103">
        <f t="shared" ca="1" si="5"/>
        <v>-16500</v>
      </c>
      <c r="R29" s="103">
        <f t="shared" ca="1" si="5"/>
        <v>-42605</v>
      </c>
      <c r="S29" s="103">
        <f t="shared" ca="1" si="5"/>
        <v>350000</v>
      </c>
      <c r="T29" s="103">
        <f t="shared" ca="1" si="1"/>
        <v>0</v>
      </c>
      <c r="U29" s="92" t="b">
        <f t="shared" ref="U29:U31" ca="1" si="28">M29=SUM(N29:T29)</f>
        <v>1</v>
      </c>
      <c r="V29" s="88" t="s">
        <v>733</v>
      </c>
      <c r="X29" s="277"/>
    </row>
    <row r="30" spans="1:25" s="86" customFormat="1" ht="21" customHeight="1" x14ac:dyDescent="0.15">
      <c r="A30" s="50">
        <f t="shared" si="3"/>
        <v>27</v>
      </c>
      <c r="B30" s="50">
        <v>5</v>
      </c>
      <c r="C30" s="50">
        <v>7</v>
      </c>
      <c r="D30" s="50">
        <v>19</v>
      </c>
      <c r="E30" s="50"/>
      <c r="F30" s="278" t="s">
        <v>696</v>
      </c>
      <c r="G30" s="92">
        <v>2</v>
      </c>
      <c r="H30" s="88" t="s">
        <v>414</v>
      </c>
      <c r="I30" s="273" t="s">
        <v>147</v>
      </c>
      <c r="J30" s="276">
        <v>4000</v>
      </c>
      <c r="K30" s="276"/>
      <c r="L30" s="50" t="s">
        <v>191</v>
      </c>
      <c r="M30" s="284">
        <f t="shared" ca="1" si="4"/>
        <v>773715</v>
      </c>
      <c r="N30" s="284">
        <f t="shared" ca="1" si="5"/>
        <v>1907</v>
      </c>
      <c r="O30" s="284">
        <f t="shared" ca="1" si="5"/>
        <v>-9577</v>
      </c>
      <c r="P30" s="284">
        <f t="shared" ca="1" si="5"/>
        <v>494490</v>
      </c>
      <c r="Q30" s="284">
        <f t="shared" ca="1" si="5"/>
        <v>-16500</v>
      </c>
      <c r="R30" s="284">
        <f t="shared" ca="1" si="5"/>
        <v>-46605</v>
      </c>
      <c r="S30" s="284">
        <f t="shared" ca="1" si="5"/>
        <v>350000</v>
      </c>
      <c r="T30" s="284">
        <f t="shared" ca="1" si="1"/>
        <v>0</v>
      </c>
      <c r="U30" s="92" t="b">
        <f t="shared" ref="U30" ca="1" si="29">M30=SUM(N30:T30)</f>
        <v>1</v>
      </c>
      <c r="V30" s="88"/>
      <c r="X30" s="277"/>
    </row>
    <row r="31" spans="1:25" s="86" customFormat="1" ht="21" customHeight="1" x14ac:dyDescent="0.15">
      <c r="A31" s="50">
        <f t="shared" si="3"/>
        <v>28</v>
      </c>
      <c r="B31" s="50">
        <v>6</v>
      </c>
      <c r="C31" s="50">
        <v>7</v>
      </c>
      <c r="D31" s="41">
        <v>19</v>
      </c>
      <c r="E31" s="41"/>
      <c r="F31" s="78" t="s">
        <v>38</v>
      </c>
      <c r="G31" s="92" t="s">
        <v>224</v>
      </c>
      <c r="H31" s="88" t="s">
        <v>395</v>
      </c>
      <c r="I31" s="273" t="s">
        <v>661</v>
      </c>
      <c r="J31" s="276"/>
      <c r="K31" s="276">
        <v>9500</v>
      </c>
      <c r="L31" s="92" t="s">
        <v>659</v>
      </c>
      <c r="M31" s="103">
        <f t="shared" ca="1" si="4"/>
        <v>783215</v>
      </c>
      <c r="N31" s="103">
        <f t="shared" ca="1" si="5"/>
        <v>1907</v>
      </c>
      <c r="O31" s="103">
        <f t="shared" ca="1" si="5"/>
        <v>-9577</v>
      </c>
      <c r="P31" s="103">
        <f t="shared" ca="1" si="5"/>
        <v>503990</v>
      </c>
      <c r="Q31" s="103">
        <f t="shared" ca="1" si="5"/>
        <v>-16500</v>
      </c>
      <c r="R31" s="103">
        <f t="shared" ca="1" si="5"/>
        <v>-46605</v>
      </c>
      <c r="S31" s="103">
        <f t="shared" ca="1" si="5"/>
        <v>350000</v>
      </c>
      <c r="T31" s="103">
        <f t="shared" ca="1" si="1"/>
        <v>0</v>
      </c>
      <c r="U31" s="92" t="b">
        <f t="shared" ca="1" si="28"/>
        <v>1</v>
      </c>
      <c r="V31" s="88" t="s">
        <v>734</v>
      </c>
      <c r="X31" s="277"/>
    </row>
    <row r="32" spans="1:25" s="86" customFormat="1" ht="21" customHeight="1" x14ac:dyDescent="0.15">
      <c r="A32" s="50">
        <f t="shared" si="3"/>
        <v>29</v>
      </c>
      <c r="B32" s="50">
        <v>6</v>
      </c>
      <c r="C32" s="50">
        <v>7</v>
      </c>
      <c r="D32" s="41">
        <v>19</v>
      </c>
      <c r="E32" s="41"/>
      <c r="F32" s="278" t="s">
        <v>41</v>
      </c>
      <c r="G32" s="92" t="s">
        <v>225</v>
      </c>
      <c r="H32" s="88" t="s">
        <v>41</v>
      </c>
      <c r="I32" s="279" t="s">
        <v>663</v>
      </c>
      <c r="J32" s="276"/>
      <c r="K32" s="276">
        <v>20000</v>
      </c>
      <c r="L32" s="50" t="s">
        <v>867</v>
      </c>
      <c r="M32" s="103">
        <f t="shared" ca="1" si="4"/>
        <v>803215</v>
      </c>
      <c r="N32" s="103">
        <f t="shared" ca="1" si="5"/>
        <v>1907</v>
      </c>
      <c r="O32" s="103">
        <f t="shared" ca="1" si="5"/>
        <v>10423</v>
      </c>
      <c r="P32" s="103">
        <f t="shared" ca="1" si="5"/>
        <v>503990</v>
      </c>
      <c r="Q32" s="103">
        <f t="shared" ca="1" si="5"/>
        <v>-16500</v>
      </c>
      <c r="R32" s="103">
        <f t="shared" ca="1" si="5"/>
        <v>-46605</v>
      </c>
      <c r="S32" s="103">
        <f t="shared" ca="1" si="5"/>
        <v>350000</v>
      </c>
      <c r="T32" s="103">
        <f t="shared" ca="1" si="1"/>
        <v>0</v>
      </c>
      <c r="U32" s="92" t="b">
        <f ca="1">M32=SUM(N32:T32)</f>
        <v>1</v>
      </c>
      <c r="V32" s="88" t="s">
        <v>670</v>
      </c>
      <c r="X32" s="277"/>
    </row>
    <row r="33" spans="1:25" s="86" customFormat="1" ht="21" customHeight="1" x14ac:dyDescent="0.15">
      <c r="A33" s="50">
        <f t="shared" si="3"/>
        <v>30</v>
      </c>
      <c r="B33" s="50">
        <v>6</v>
      </c>
      <c r="C33" s="50">
        <v>7</v>
      </c>
      <c r="D33" s="41">
        <v>19</v>
      </c>
      <c r="E33" s="41"/>
      <c r="F33" s="278" t="s">
        <v>665</v>
      </c>
      <c r="G33" s="92" t="s">
        <v>226</v>
      </c>
      <c r="H33" s="88" t="s">
        <v>48</v>
      </c>
      <c r="I33" s="279" t="s">
        <v>664</v>
      </c>
      <c r="J33" s="276"/>
      <c r="K33" s="276">
        <v>5000</v>
      </c>
      <c r="L33" s="50" t="s">
        <v>867</v>
      </c>
      <c r="M33" s="103">
        <f t="shared" ca="1" si="4"/>
        <v>808215</v>
      </c>
      <c r="N33" s="103">
        <f t="shared" ca="1" si="5"/>
        <v>1907</v>
      </c>
      <c r="O33" s="103">
        <f t="shared" ca="1" si="5"/>
        <v>15423</v>
      </c>
      <c r="P33" s="103">
        <f t="shared" ca="1" si="5"/>
        <v>503990</v>
      </c>
      <c r="Q33" s="103">
        <f t="shared" ca="1" si="5"/>
        <v>-16500</v>
      </c>
      <c r="R33" s="103">
        <f t="shared" ca="1" si="5"/>
        <v>-46605</v>
      </c>
      <c r="S33" s="103">
        <f t="shared" ca="1" si="5"/>
        <v>350000</v>
      </c>
      <c r="T33" s="103">
        <f t="shared" ca="1" si="1"/>
        <v>0</v>
      </c>
      <c r="U33" s="92" t="b">
        <f ca="1">M33=SUM(N33:T33)</f>
        <v>1</v>
      </c>
      <c r="V33" s="88" t="s">
        <v>671</v>
      </c>
      <c r="X33" s="277"/>
    </row>
    <row r="34" spans="1:25" s="100" customFormat="1" ht="21" customHeight="1" x14ac:dyDescent="0.15">
      <c r="A34" s="41">
        <f t="shared" si="3"/>
        <v>31</v>
      </c>
      <c r="B34" s="41">
        <v>6</v>
      </c>
      <c r="C34" s="41">
        <v>7</v>
      </c>
      <c r="D34" s="41">
        <v>19</v>
      </c>
      <c r="E34" s="41"/>
      <c r="F34" s="278" t="s">
        <v>656</v>
      </c>
      <c r="G34" s="92">
        <v>7</v>
      </c>
      <c r="H34" s="88" t="s">
        <v>620</v>
      </c>
      <c r="I34" s="273" t="s">
        <v>655</v>
      </c>
      <c r="J34" s="101">
        <v>10000</v>
      </c>
      <c r="K34" s="101"/>
      <c r="L34" s="50" t="s">
        <v>867</v>
      </c>
      <c r="M34" s="103">
        <f t="shared" ca="1" si="4"/>
        <v>798215</v>
      </c>
      <c r="N34" s="103">
        <f t="shared" ca="1" si="5"/>
        <v>1907</v>
      </c>
      <c r="O34" s="103">
        <f t="shared" ca="1" si="5"/>
        <v>5423</v>
      </c>
      <c r="P34" s="103">
        <f t="shared" ca="1" si="5"/>
        <v>503990</v>
      </c>
      <c r="Q34" s="103">
        <f t="shared" ca="1" si="5"/>
        <v>-16500</v>
      </c>
      <c r="R34" s="103">
        <f t="shared" ca="1" si="5"/>
        <v>-46605</v>
      </c>
      <c r="S34" s="103">
        <f t="shared" ca="1" si="5"/>
        <v>350000</v>
      </c>
      <c r="T34" s="103">
        <f t="shared" ca="1" si="1"/>
        <v>0</v>
      </c>
      <c r="U34" s="102" t="b">
        <f t="shared" ref="U34" ca="1" si="30">M34=SUM(N34:T34)</f>
        <v>1</v>
      </c>
      <c r="V34" s="37" t="s">
        <v>61</v>
      </c>
      <c r="Y34" s="104"/>
    </row>
    <row r="35" spans="1:25" s="100" customFormat="1" ht="21" customHeight="1" x14ac:dyDescent="0.15">
      <c r="A35" s="41">
        <f t="shared" si="3"/>
        <v>32</v>
      </c>
      <c r="B35" s="41">
        <v>6</v>
      </c>
      <c r="C35" s="41">
        <v>7</v>
      </c>
      <c r="D35" s="41">
        <v>19</v>
      </c>
      <c r="E35" s="41"/>
      <c r="F35" s="278" t="s">
        <v>656</v>
      </c>
      <c r="G35" s="92">
        <v>7</v>
      </c>
      <c r="H35" s="88" t="s">
        <v>620</v>
      </c>
      <c r="I35" s="273" t="s">
        <v>51</v>
      </c>
      <c r="J35" s="101">
        <v>10590</v>
      </c>
      <c r="K35" s="101"/>
      <c r="L35" s="50" t="s">
        <v>867</v>
      </c>
      <c r="M35" s="103">
        <f t="shared" ca="1" si="4"/>
        <v>787625</v>
      </c>
      <c r="N35" s="103">
        <f t="shared" ca="1" si="5"/>
        <v>1907</v>
      </c>
      <c r="O35" s="103">
        <f t="shared" ca="1" si="5"/>
        <v>-5167</v>
      </c>
      <c r="P35" s="103">
        <f t="shared" ca="1" si="5"/>
        <v>503990</v>
      </c>
      <c r="Q35" s="103">
        <f t="shared" ca="1" si="5"/>
        <v>-16500</v>
      </c>
      <c r="R35" s="103">
        <f t="shared" ca="1" si="5"/>
        <v>-46605</v>
      </c>
      <c r="S35" s="103">
        <f t="shared" ca="1" si="5"/>
        <v>350000</v>
      </c>
      <c r="T35" s="103">
        <f t="shared" ca="1" si="1"/>
        <v>0</v>
      </c>
      <c r="U35" s="102" t="b">
        <f t="shared" ref="U35:U37" ca="1" si="31">M35=SUM(N35:T35)</f>
        <v>1</v>
      </c>
      <c r="V35" s="37" t="s">
        <v>61</v>
      </c>
      <c r="Y35" s="104"/>
    </row>
    <row r="36" spans="1:25" s="86" customFormat="1" ht="21" customHeight="1" x14ac:dyDescent="0.15">
      <c r="A36" s="50">
        <f t="shared" si="3"/>
        <v>33</v>
      </c>
      <c r="B36" s="363">
        <v>6</v>
      </c>
      <c r="C36" s="50">
        <v>7</v>
      </c>
      <c r="D36" s="50">
        <v>20</v>
      </c>
      <c r="E36" s="87" t="s">
        <v>740</v>
      </c>
      <c r="F36" s="278" t="s">
        <v>919</v>
      </c>
      <c r="G36" s="92">
        <v>3</v>
      </c>
      <c r="H36" s="37" t="str">
        <f>VLOOKUP(G36,祭礼会計コード!$C$2:$D$43,2,FALSE)</f>
        <v>神社等分担費</v>
      </c>
      <c r="I36" s="273" t="s">
        <v>204</v>
      </c>
      <c r="J36" s="276">
        <v>10000</v>
      </c>
      <c r="K36" s="276"/>
      <c r="L36" s="50" t="s">
        <v>872</v>
      </c>
      <c r="M36" s="284">
        <f ca="1">OFFSET(M36,-1,0)+K36-J36</f>
        <v>777625</v>
      </c>
      <c r="N36" s="284">
        <f t="shared" ca="1" si="5"/>
        <v>1907</v>
      </c>
      <c r="O36" s="284">
        <f t="shared" ca="1" si="5"/>
        <v>-5167</v>
      </c>
      <c r="P36" s="284">
        <f t="shared" ca="1" si="5"/>
        <v>503990</v>
      </c>
      <c r="Q36" s="284">
        <f t="shared" ca="1" si="5"/>
        <v>-26500</v>
      </c>
      <c r="R36" s="284">
        <f t="shared" ca="1" si="5"/>
        <v>-46605</v>
      </c>
      <c r="S36" s="284">
        <f t="shared" ca="1" si="5"/>
        <v>350000</v>
      </c>
      <c r="T36" s="284">
        <f t="shared" ca="1" si="5"/>
        <v>0</v>
      </c>
      <c r="U36" s="92" t="b">
        <f t="shared" ref="U36" ca="1" si="32">M36=SUM(N36:T36)</f>
        <v>1</v>
      </c>
      <c r="V36" s="88"/>
      <c r="X36" s="277"/>
    </row>
    <row r="37" spans="1:25" s="100" customFormat="1" ht="21" customHeight="1" x14ac:dyDescent="0.15">
      <c r="A37" s="41">
        <f t="shared" si="3"/>
        <v>34</v>
      </c>
      <c r="B37" s="41">
        <v>6</v>
      </c>
      <c r="C37" s="41">
        <v>7</v>
      </c>
      <c r="D37" s="41">
        <v>20</v>
      </c>
      <c r="E37" s="41"/>
      <c r="F37" s="278" t="s">
        <v>252</v>
      </c>
      <c r="G37" s="92">
        <v>2</v>
      </c>
      <c r="H37" s="88" t="s">
        <v>414</v>
      </c>
      <c r="I37" s="273" t="s">
        <v>134</v>
      </c>
      <c r="J37" s="101">
        <v>4500</v>
      </c>
      <c r="K37" s="101"/>
      <c r="L37" s="50" t="s">
        <v>867</v>
      </c>
      <c r="M37" s="103">
        <f t="shared" ca="1" si="4"/>
        <v>773125</v>
      </c>
      <c r="N37" s="103">
        <f t="shared" ca="1" si="5"/>
        <v>1907</v>
      </c>
      <c r="O37" s="103">
        <f t="shared" ca="1" si="5"/>
        <v>-9667</v>
      </c>
      <c r="P37" s="103">
        <f t="shared" ca="1" si="5"/>
        <v>503990</v>
      </c>
      <c r="Q37" s="103">
        <f t="shared" ca="1" si="5"/>
        <v>-26500</v>
      </c>
      <c r="R37" s="103">
        <f t="shared" ca="1" si="5"/>
        <v>-46605</v>
      </c>
      <c r="S37" s="103">
        <f t="shared" ca="1" si="5"/>
        <v>350000</v>
      </c>
      <c r="T37" s="103">
        <f t="shared" ca="1" si="1"/>
        <v>0</v>
      </c>
      <c r="U37" s="102" t="b">
        <f t="shared" ca="1" si="31"/>
        <v>1</v>
      </c>
      <c r="V37" s="37" t="s">
        <v>658</v>
      </c>
      <c r="Y37" s="104"/>
    </row>
    <row r="38" spans="1:25" s="86" customFormat="1" ht="21" customHeight="1" x14ac:dyDescent="0.15">
      <c r="A38" s="50">
        <f t="shared" si="3"/>
        <v>35</v>
      </c>
      <c r="B38" s="50">
        <v>6</v>
      </c>
      <c r="C38" s="50">
        <v>7</v>
      </c>
      <c r="D38" s="50">
        <v>20</v>
      </c>
      <c r="E38" s="50"/>
      <c r="F38" s="278" t="s">
        <v>697</v>
      </c>
      <c r="G38" s="92">
        <v>2</v>
      </c>
      <c r="H38" s="88" t="s">
        <v>414</v>
      </c>
      <c r="I38" s="273" t="s">
        <v>146</v>
      </c>
      <c r="J38" s="276">
        <v>1274</v>
      </c>
      <c r="K38" s="276"/>
      <c r="L38" s="50" t="s">
        <v>191</v>
      </c>
      <c r="M38" s="284">
        <f t="shared" ca="1" si="4"/>
        <v>771851</v>
      </c>
      <c r="N38" s="284">
        <f t="shared" ca="1" si="5"/>
        <v>1907</v>
      </c>
      <c r="O38" s="284">
        <f t="shared" ca="1" si="5"/>
        <v>-9667</v>
      </c>
      <c r="P38" s="284">
        <f t="shared" ca="1" si="5"/>
        <v>503990</v>
      </c>
      <c r="Q38" s="284">
        <f t="shared" ca="1" si="5"/>
        <v>-26500</v>
      </c>
      <c r="R38" s="284">
        <f t="shared" ca="1" si="5"/>
        <v>-47879</v>
      </c>
      <c r="S38" s="284">
        <f t="shared" ca="1" si="5"/>
        <v>350000</v>
      </c>
      <c r="T38" s="284">
        <f t="shared" ca="1" si="1"/>
        <v>0</v>
      </c>
      <c r="U38" s="92" t="b">
        <f t="shared" ref="U38" ca="1" si="33">M38=SUM(N38:T38)</f>
        <v>1</v>
      </c>
      <c r="V38" s="88"/>
      <c r="X38" s="277"/>
    </row>
    <row r="39" spans="1:25" s="100" customFormat="1" ht="21" customHeight="1" x14ac:dyDescent="0.15">
      <c r="A39" s="41">
        <f t="shared" si="3"/>
        <v>36</v>
      </c>
      <c r="B39" s="41">
        <v>6</v>
      </c>
      <c r="C39" s="41">
        <v>7</v>
      </c>
      <c r="D39" s="41">
        <v>20</v>
      </c>
      <c r="E39" s="41"/>
      <c r="F39" s="78" t="s">
        <v>651</v>
      </c>
      <c r="G39" s="41">
        <v>6</v>
      </c>
      <c r="H39" s="88" t="s">
        <v>618</v>
      </c>
      <c r="I39" s="273" t="s">
        <v>652</v>
      </c>
      <c r="J39" s="101">
        <v>5200</v>
      </c>
      <c r="K39" s="101"/>
      <c r="L39" s="50" t="s">
        <v>867</v>
      </c>
      <c r="M39" s="103">
        <f t="shared" ca="1" si="4"/>
        <v>766651</v>
      </c>
      <c r="N39" s="103">
        <f t="shared" ca="1" si="5"/>
        <v>1907</v>
      </c>
      <c r="O39" s="103">
        <f t="shared" ca="1" si="5"/>
        <v>-14867</v>
      </c>
      <c r="P39" s="103">
        <f t="shared" ca="1" si="5"/>
        <v>503990</v>
      </c>
      <c r="Q39" s="103">
        <f t="shared" ca="1" si="5"/>
        <v>-26500</v>
      </c>
      <c r="R39" s="103">
        <f t="shared" ca="1" si="5"/>
        <v>-47879</v>
      </c>
      <c r="S39" s="103">
        <f t="shared" ca="1" si="5"/>
        <v>350000</v>
      </c>
      <c r="T39" s="103">
        <f t="shared" ca="1" si="1"/>
        <v>0</v>
      </c>
      <c r="U39" s="102" t="b">
        <f t="shared" ref="U39" ca="1" si="34">M39=SUM(N39:T39)</f>
        <v>1</v>
      </c>
      <c r="V39" s="37" t="s">
        <v>657</v>
      </c>
      <c r="Y39" s="104"/>
    </row>
    <row r="40" spans="1:25" s="100" customFormat="1" ht="21" customHeight="1" x14ac:dyDescent="0.15">
      <c r="A40" s="41">
        <f t="shared" si="3"/>
        <v>37</v>
      </c>
      <c r="B40" s="41">
        <v>6</v>
      </c>
      <c r="C40" s="41">
        <v>7</v>
      </c>
      <c r="D40" s="41">
        <v>20</v>
      </c>
      <c r="E40" s="41"/>
      <c r="F40" s="78" t="s">
        <v>653</v>
      </c>
      <c r="G40" s="41">
        <v>6</v>
      </c>
      <c r="H40" s="88" t="s">
        <v>618</v>
      </c>
      <c r="I40" s="273" t="s">
        <v>30</v>
      </c>
      <c r="J40" s="101">
        <v>3960</v>
      </c>
      <c r="K40" s="101"/>
      <c r="L40" s="50" t="s">
        <v>867</v>
      </c>
      <c r="M40" s="103">
        <f t="shared" ca="1" si="4"/>
        <v>762691</v>
      </c>
      <c r="N40" s="103">
        <f t="shared" ca="1" si="5"/>
        <v>1907</v>
      </c>
      <c r="O40" s="103">
        <f t="shared" ca="1" si="5"/>
        <v>-18827</v>
      </c>
      <c r="P40" s="103">
        <f t="shared" ca="1" si="5"/>
        <v>503990</v>
      </c>
      <c r="Q40" s="103">
        <f t="shared" ca="1" si="5"/>
        <v>-26500</v>
      </c>
      <c r="R40" s="103">
        <f t="shared" ca="1" si="5"/>
        <v>-47879</v>
      </c>
      <c r="S40" s="103">
        <f t="shared" ca="1" si="5"/>
        <v>350000</v>
      </c>
      <c r="T40" s="103">
        <f t="shared" ca="1" si="1"/>
        <v>0</v>
      </c>
      <c r="U40" s="102" t="b">
        <f t="shared" ref="U40" ca="1" si="35">M40=SUM(N40:T40)</f>
        <v>1</v>
      </c>
      <c r="V40" s="37" t="s">
        <v>50</v>
      </c>
      <c r="Y40" s="104"/>
    </row>
    <row r="41" spans="1:25" s="86" customFormat="1" ht="21" customHeight="1" x14ac:dyDescent="0.15">
      <c r="A41" s="50">
        <f t="shared" si="3"/>
        <v>38</v>
      </c>
      <c r="B41" s="50">
        <v>6</v>
      </c>
      <c r="C41" s="50">
        <v>7</v>
      </c>
      <c r="D41" s="41">
        <v>20</v>
      </c>
      <c r="E41" s="41"/>
      <c r="F41" s="278" t="s">
        <v>41</v>
      </c>
      <c r="G41" s="92" t="s">
        <v>225</v>
      </c>
      <c r="H41" s="88" t="s">
        <v>41</v>
      </c>
      <c r="I41" s="279" t="s">
        <v>663</v>
      </c>
      <c r="J41" s="276"/>
      <c r="K41" s="276">
        <v>114000</v>
      </c>
      <c r="L41" s="50" t="s">
        <v>867</v>
      </c>
      <c r="M41" s="103">
        <f t="shared" ca="1" si="4"/>
        <v>876691</v>
      </c>
      <c r="N41" s="103">
        <f t="shared" ca="1" si="5"/>
        <v>1907</v>
      </c>
      <c r="O41" s="103">
        <f t="shared" ca="1" si="5"/>
        <v>95173</v>
      </c>
      <c r="P41" s="103">
        <f t="shared" ca="1" si="5"/>
        <v>503990</v>
      </c>
      <c r="Q41" s="103">
        <f t="shared" ca="1" si="5"/>
        <v>-26500</v>
      </c>
      <c r="R41" s="103">
        <f t="shared" ca="1" si="5"/>
        <v>-47879</v>
      </c>
      <c r="S41" s="103">
        <f t="shared" ca="1" si="5"/>
        <v>350000</v>
      </c>
      <c r="T41" s="103">
        <f t="shared" ca="1" si="1"/>
        <v>0</v>
      </c>
      <c r="U41" s="92" t="b">
        <f ca="1">M41=SUM(N41:T41)</f>
        <v>1</v>
      </c>
      <c r="V41" s="88" t="s">
        <v>666</v>
      </c>
      <c r="X41" s="277"/>
    </row>
    <row r="42" spans="1:25" s="86" customFormat="1" ht="21" customHeight="1" x14ac:dyDescent="0.15">
      <c r="A42" s="50">
        <f t="shared" si="3"/>
        <v>39</v>
      </c>
      <c r="B42" s="50">
        <v>6</v>
      </c>
      <c r="C42" s="50">
        <v>7</v>
      </c>
      <c r="D42" s="41">
        <v>20</v>
      </c>
      <c r="E42" s="41"/>
      <c r="F42" s="278" t="s">
        <v>665</v>
      </c>
      <c r="G42" s="92" t="s">
        <v>226</v>
      </c>
      <c r="H42" s="88" t="s">
        <v>48</v>
      </c>
      <c r="I42" s="279" t="s">
        <v>664</v>
      </c>
      <c r="J42" s="276"/>
      <c r="K42" s="276">
        <v>10000</v>
      </c>
      <c r="L42" s="50" t="s">
        <v>867</v>
      </c>
      <c r="M42" s="103">
        <f t="shared" ca="1" si="4"/>
        <v>886691</v>
      </c>
      <c r="N42" s="103">
        <f t="shared" ca="1" si="5"/>
        <v>1907</v>
      </c>
      <c r="O42" s="103">
        <f t="shared" ca="1" si="5"/>
        <v>105173</v>
      </c>
      <c r="P42" s="103">
        <f t="shared" ca="1" si="5"/>
        <v>503990</v>
      </c>
      <c r="Q42" s="103">
        <f t="shared" ca="1" si="5"/>
        <v>-26500</v>
      </c>
      <c r="R42" s="103">
        <f t="shared" ca="1" si="5"/>
        <v>-47879</v>
      </c>
      <c r="S42" s="103">
        <f t="shared" ca="1" si="5"/>
        <v>350000</v>
      </c>
      <c r="T42" s="103">
        <f t="shared" ca="1" si="1"/>
        <v>0</v>
      </c>
      <c r="U42" s="92" t="b">
        <f ca="1">M42=SUM(N42:T42)</f>
        <v>1</v>
      </c>
      <c r="V42" s="88" t="s">
        <v>667</v>
      </c>
      <c r="X42" s="277"/>
    </row>
    <row r="43" spans="1:25" s="86" customFormat="1" ht="21" customHeight="1" x14ac:dyDescent="0.15">
      <c r="A43" s="50">
        <v>27</v>
      </c>
      <c r="B43" s="50">
        <v>6</v>
      </c>
      <c r="C43" s="50">
        <v>7</v>
      </c>
      <c r="D43" s="41">
        <v>21</v>
      </c>
      <c r="E43" s="41"/>
      <c r="F43" s="278" t="s">
        <v>41</v>
      </c>
      <c r="G43" s="92" t="s">
        <v>225</v>
      </c>
      <c r="H43" s="88" t="s">
        <v>41</v>
      </c>
      <c r="I43" s="279" t="s">
        <v>663</v>
      </c>
      <c r="J43" s="276"/>
      <c r="K43" s="276">
        <v>5000</v>
      </c>
      <c r="L43" s="92" t="s">
        <v>242</v>
      </c>
      <c r="M43" s="103">
        <f t="shared" ca="1" si="4"/>
        <v>891691</v>
      </c>
      <c r="N43" s="103">
        <f t="shared" ca="1" si="5"/>
        <v>1907</v>
      </c>
      <c r="O43" s="103">
        <f t="shared" ca="1" si="5"/>
        <v>105173</v>
      </c>
      <c r="P43" s="103">
        <f t="shared" ca="1" si="5"/>
        <v>503990</v>
      </c>
      <c r="Q43" s="103">
        <f t="shared" ca="1" si="5"/>
        <v>-26500</v>
      </c>
      <c r="R43" s="103">
        <f t="shared" ca="1" si="5"/>
        <v>-47879</v>
      </c>
      <c r="S43" s="103">
        <f t="shared" ca="1" si="5"/>
        <v>350000</v>
      </c>
      <c r="T43" s="103">
        <f t="shared" ca="1" si="1"/>
        <v>5000</v>
      </c>
      <c r="U43" s="102" t="b">
        <f t="shared" ca="1" si="2"/>
        <v>1</v>
      </c>
      <c r="V43" s="88" t="s">
        <v>671</v>
      </c>
      <c r="X43" s="277"/>
    </row>
    <row r="44" spans="1:25" s="86" customFormat="1" ht="21" customHeight="1" x14ac:dyDescent="0.15">
      <c r="A44" s="50">
        <f t="shared" si="3"/>
        <v>41</v>
      </c>
      <c r="B44" s="50">
        <v>6</v>
      </c>
      <c r="C44" s="50">
        <v>7</v>
      </c>
      <c r="D44" s="41">
        <v>21</v>
      </c>
      <c r="E44" s="41"/>
      <c r="F44" s="278" t="s">
        <v>41</v>
      </c>
      <c r="G44" s="92" t="s">
        <v>225</v>
      </c>
      <c r="H44" s="88" t="s">
        <v>41</v>
      </c>
      <c r="I44" s="279" t="s">
        <v>663</v>
      </c>
      <c r="J44" s="276"/>
      <c r="K44" s="276">
        <v>41000</v>
      </c>
      <c r="L44" s="50" t="s">
        <v>867</v>
      </c>
      <c r="M44" s="103">
        <f t="shared" ca="1" si="4"/>
        <v>932691</v>
      </c>
      <c r="N44" s="103">
        <f t="shared" ca="1" si="5"/>
        <v>1907</v>
      </c>
      <c r="O44" s="103">
        <f t="shared" ca="1" si="5"/>
        <v>146173</v>
      </c>
      <c r="P44" s="103">
        <f t="shared" ca="1" si="5"/>
        <v>503990</v>
      </c>
      <c r="Q44" s="103">
        <f t="shared" ca="1" si="5"/>
        <v>-26500</v>
      </c>
      <c r="R44" s="103">
        <f t="shared" ca="1" si="5"/>
        <v>-47879</v>
      </c>
      <c r="S44" s="103">
        <f t="shared" ca="1" si="5"/>
        <v>350000</v>
      </c>
      <c r="T44" s="103">
        <f t="shared" ca="1" si="1"/>
        <v>5000</v>
      </c>
      <c r="U44" s="92" t="b">
        <f ca="1">M44=SUM(N44:T44)</f>
        <v>1</v>
      </c>
      <c r="V44" s="88" t="s">
        <v>672</v>
      </c>
      <c r="X44" s="277"/>
    </row>
    <row r="45" spans="1:25" s="86" customFormat="1" ht="21" customHeight="1" x14ac:dyDescent="0.15">
      <c r="A45" s="50">
        <f t="shared" si="3"/>
        <v>42</v>
      </c>
      <c r="B45" s="50">
        <v>6</v>
      </c>
      <c r="C45" s="50">
        <v>7</v>
      </c>
      <c r="D45" s="41">
        <v>21</v>
      </c>
      <c r="E45" s="41"/>
      <c r="F45" s="278" t="s">
        <v>665</v>
      </c>
      <c r="G45" s="92" t="s">
        <v>226</v>
      </c>
      <c r="H45" s="88" t="s">
        <v>48</v>
      </c>
      <c r="I45" s="279" t="s">
        <v>664</v>
      </c>
      <c r="J45" s="276"/>
      <c r="K45" s="276">
        <v>181000</v>
      </c>
      <c r="L45" s="50" t="s">
        <v>867</v>
      </c>
      <c r="M45" s="103">
        <f t="shared" ca="1" si="4"/>
        <v>1113691</v>
      </c>
      <c r="N45" s="103">
        <f t="shared" ca="1" si="5"/>
        <v>1907</v>
      </c>
      <c r="O45" s="103">
        <f t="shared" ca="1" si="5"/>
        <v>327173</v>
      </c>
      <c r="P45" s="103">
        <f t="shared" ca="1" si="5"/>
        <v>503990</v>
      </c>
      <c r="Q45" s="103">
        <f t="shared" ca="1" si="5"/>
        <v>-26500</v>
      </c>
      <c r="R45" s="103">
        <f t="shared" ca="1" si="5"/>
        <v>-47879</v>
      </c>
      <c r="S45" s="103">
        <f t="shared" ca="1" si="5"/>
        <v>350000</v>
      </c>
      <c r="T45" s="103">
        <f t="shared" ca="1" si="1"/>
        <v>5000</v>
      </c>
      <c r="U45" s="92" t="b">
        <f ca="1">M45=SUM(N45:T45)</f>
        <v>1</v>
      </c>
      <c r="V45" s="88" t="s">
        <v>668</v>
      </c>
      <c r="X45" s="277"/>
    </row>
    <row r="46" spans="1:25" s="86" customFormat="1" ht="21" customHeight="1" x14ac:dyDescent="0.15">
      <c r="A46" s="50">
        <f t="shared" si="3"/>
        <v>43</v>
      </c>
      <c r="B46" s="50">
        <v>6</v>
      </c>
      <c r="C46" s="50">
        <v>7</v>
      </c>
      <c r="D46" s="41">
        <v>21</v>
      </c>
      <c r="E46" s="41"/>
      <c r="F46" s="78" t="s">
        <v>121</v>
      </c>
      <c r="G46" s="92" t="s">
        <v>227</v>
      </c>
      <c r="H46" s="88" t="s">
        <v>396</v>
      </c>
      <c r="I46" s="279"/>
      <c r="J46" s="276"/>
      <c r="K46" s="276">
        <v>5119</v>
      </c>
      <c r="L46" s="50" t="s">
        <v>867</v>
      </c>
      <c r="M46" s="103">
        <f t="shared" ca="1" si="4"/>
        <v>1118810</v>
      </c>
      <c r="N46" s="103">
        <f t="shared" ca="1" si="5"/>
        <v>1907</v>
      </c>
      <c r="O46" s="103">
        <f t="shared" ca="1" si="5"/>
        <v>332292</v>
      </c>
      <c r="P46" s="103">
        <f t="shared" ca="1" si="5"/>
        <v>503990</v>
      </c>
      <c r="Q46" s="103">
        <f t="shared" ca="1" si="5"/>
        <v>-26500</v>
      </c>
      <c r="R46" s="103">
        <f t="shared" ca="1" si="5"/>
        <v>-47879</v>
      </c>
      <c r="S46" s="103">
        <f t="shared" ca="1" si="5"/>
        <v>350000</v>
      </c>
      <c r="T46" s="103">
        <f t="shared" ca="1" si="1"/>
        <v>5000</v>
      </c>
      <c r="U46" s="92" t="b">
        <f t="shared" ref="U46" ca="1" si="36">M46=SUM(N46:T46)</f>
        <v>1</v>
      </c>
      <c r="V46" s="88"/>
      <c r="X46" s="277"/>
    </row>
    <row r="47" spans="1:25" s="86" customFormat="1" ht="21" customHeight="1" x14ac:dyDescent="0.15">
      <c r="A47" s="50">
        <f t="shared" si="3"/>
        <v>44</v>
      </c>
      <c r="B47" s="50">
        <v>6</v>
      </c>
      <c r="C47" s="50">
        <v>7</v>
      </c>
      <c r="D47" s="50">
        <v>22</v>
      </c>
      <c r="E47" s="50"/>
      <c r="F47" s="278" t="s">
        <v>698</v>
      </c>
      <c r="G47" s="92">
        <v>11</v>
      </c>
      <c r="H47" s="88" t="s">
        <v>233</v>
      </c>
      <c r="I47" s="78" t="s">
        <v>725</v>
      </c>
      <c r="J47" s="276">
        <v>5000</v>
      </c>
      <c r="K47" s="276"/>
      <c r="L47" s="50" t="s">
        <v>191</v>
      </c>
      <c r="M47" s="284">
        <f t="shared" ca="1" si="4"/>
        <v>1113810</v>
      </c>
      <c r="N47" s="284">
        <f t="shared" ca="1" si="5"/>
        <v>1907</v>
      </c>
      <c r="O47" s="284">
        <f t="shared" ca="1" si="5"/>
        <v>332292</v>
      </c>
      <c r="P47" s="284">
        <f t="shared" ca="1" si="5"/>
        <v>503990</v>
      </c>
      <c r="Q47" s="284">
        <f t="shared" ca="1" si="5"/>
        <v>-26500</v>
      </c>
      <c r="R47" s="284">
        <f t="shared" ca="1" si="5"/>
        <v>-52879</v>
      </c>
      <c r="S47" s="284">
        <f t="shared" ca="1" si="5"/>
        <v>350000</v>
      </c>
      <c r="T47" s="284">
        <f t="shared" ca="1" si="1"/>
        <v>5000</v>
      </c>
      <c r="U47" s="92" t="b">
        <f t="shared" ref="U47" ca="1" si="37">M47=SUM(N47:T47)</f>
        <v>1</v>
      </c>
      <c r="V47" s="88"/>
      <c r="X47" s="277"/>
    </row>
    <row r="48" spans="1:25" s="86" customFormat="1" ht="21" customHeight="1" x14ac:dyDescent="0.15">
      <c r="A48" s="50">
        <f t="shared" si="3"/>
        <v>45</v>
      </c>
      <c r="B48" s="50">
        <v>6</v>
      </c>
      <c r="C48" s="50">
        <v>7</v>
      </c>
      <c r="D48" s="50">
        <v>23</v>
      </c>
      <c r="E48" s="50"/>
      <c r="F48" s="278" t="s">
        <v>699</v>
      </c>
      <c r="G48" s="92">
        <v>4</v>
      </c>
      <c r="H48" s="278" t="s">
        <v>266</v>
      </c>
      <c r="I48" s="78" t="s">
        <v>68</v>
      </c>
      <c r="J48" s="276">
        <v>5830</v>
      </c>
      <c r="K48" s="276"/>
      <c r="L48" s="50" t="s">
        <v>191</v>
      </c>
      <c r="M48" s="284">
        <f ca="1">OFFSET(M48,-1,0)+K48-J48</f>
        <v>1107980</v>
      </c>
      <c r="N48" s="284">
        <f t="shared" ca="1" si="5"/>
        <v>1907</v>
      </c>
      <c r="O48" s="284">
        <f t="shared" ca="1" si="5"/>
        <v>332292</v>
      </c>
      <c r="P48" s="284">
        <f t="shared" ca="1" si="5"/>
        <v>503990</v>
      </c>
      <c r="Q48" s="284">
        <f t="shared" ca="1" si="5"/>
        <v>-26500</v>
      </c>
      <c r="R48" s="284">
        <f t="shared" ca="1" si="5"/>
        <v>-58709</v>
      </c>
      <c r="S48" s="284">
        <f t="shared" ca="1" si="5"/>
        <v>350000</v>
      </c>
      <c r="T48" s="284">
        <f t="shared" ca="1" si="1"/>
        <v>5000</v>
      </c>
      <c r="U48" s="92" t="b">
        <f ca="1">M48=SUM(N48:T48)</f>
        <v>1</v>
      </c>
      <c r="V48" s="88"/>
      <c r="X48" s="277"/>
    </row>
    <row r="49" spans="1:25" s="86" customFormat="1" ht="21" customHeight="1" x14ac:dyDescent="0.15">
      <c r="A49" s="50">
        <f t="shared" si="3"/>
        <v>46</v>
      </c>
      <c r="B49" s="50">
        <v>6</v>
      </c>
      <c r="C49" s="50">
        <v>7</v>
      </c>
      <c r="D49" s="50">
        <v>23</v>
      </c>
      <c r="E49" s="50"/>
      <c r="F49" s="278" t="s">
        <v>739</v>
      </c>
      <c r="G49" s="92">
        <v>11</v>
      </c>
      <c r="H49" s="88" t="s">
        <v>233</v>
      </c>
      <c r="I49" s="279" t="s">
        <v>738</v>
      </c>
      <c r="J49" s="276">
        <v>2700</v>
      </c>
      <c r="K49" s="276"/>
      <c r="L49" s="92" t="s">
        <v>659</v>
      </c>
      <c r="M49" s="284">
        <f t="shared" ref="M49" ca="1" si="38">OFFSET(M49,-1,0)+K49-J49</f>
        <v>1105280</v>
      </c>
      <c r="N49" s="103">
        <f t="shared" ca="1" si="5"/>
        <v>1907</v>
      </c>
      <c r="O49" s="103">
        <f t="shared" ca="1" si="5"/>
        <v>332292</v>
      </c>
      <c r="P49" s="103">
        <f t="shared" ca="1" si="5"/>
        <v>501290</v>
      </c>
      <c r="Q49" s="103">
        <f t="shared" ca="1" si="5"/>
        <v>-26500</v>
      </c>
      <c r="R49" s="103">
        <f t="shared" ca="1" si="5"/>
        <v>-58709</v>
      </c>
      <c r="S49" s="103">
        <f t="shared" ca="1" si="5"/>
        <v>350000</v>
      </c>
      <c r="T49" s="103">
        <f t="shared" ca="1" si="1"/>
        <v>5000</v>
      </c>
      <c r="U49" s="92" t="b">
        <f t="shared" ref="U49:U53" ca="1" si="39">M49=SUM(N49:T49)</f>
        <v>1</v>
      </c>
      <c r="V49" s="388" t="s">
        <v>730</v>
      </c>
      <c r="X49" s="277"/>
    </row>
    <row r="50" spans="1:25" s="86" customFormat="1" ht="21" customHeight="1" x14ac:dyDescent="0.15">
      <c r="A50" s="400">
        <f t="shared" si="3"/>
        <v>47</v>
      </c>
      <c r="B50" s="400">
        <v>6</v>
      </c>
      <c r="C50" s="400">
        <v>7</v>
      </c>
      <c r="D50" s="400">
        <v>24</v>
      </c>
      <c r="E50" s="400"/>
      <c r="F50" s="392" t="s">
        <v>648</v>
      </c>
      <c r="G50" s="349" t="s">
        <v>936</v>
      </c>
      <c r="H50" s="392"/>
      <c r="I50" s="392" t="s">
        <v>935</v>
      </c>
      <c r="J50" s="393">
        <v>200000</v>
      </c>
      <c r="K50" s="401"/>
      <c r="L50" s="402" t="s">
        <v>659</v>
      </c>
      <c r="M50" s="403">
        <f t="shared" ref="M50:M53" ca="1" si="40">OFFSET(M50,-1,0)+K50-J50</f>
        <v>905280</v>
      </c>
      <c r="N50" s="103">
        <f t="shared" ca="1" si="5"/>
        <v>1907</v>
      </c>
      <c r="O50" s="103">
        <f t="shared" ca="1" si="5"/>
        <v>332292</v>
      </c>
      <c r="P50" s="103">
        <f t="shared" ca="1" si="5"/>
        <v>301290</v>
      </c>
      <c r="Q50" s="103">
        <f t="shared" ca="1" si="5"/>
        <v>-26500</v>
      </c>
      <c r="R50" s="103">
        <f t="shared" ca="1" si="5"/>
        <v>-58709</v>
      </c>
      <c r="S50" s="103">
        <f t="shared" ca="1" si="5"/>
        <v>350000</v>
      </c>
      <c r="T50" s="103">
        <f t="shared" ca="1" si="1"/>
        <v>5000</v>
      </c>
      <c r="U50" s="92" t="b">
        <f t="shared" ca="1" si="39"/>
        <v>1</v>
      </c>
      <c r="V50" s="404" t="s">
        <v>932</v>
      </c>
      <c r="X50" s="277"/>
    </row>
    <row r="51" spans="1:25" s="86" customFormat="1" ht="21" customHeight="1" x14ac:dyDescent="0.15">
      <c r="A51" s="50">
        <f t="shared" si="3"/>
        <v>48</v>
      </c>
      <c r="B51" s="363">
        <v>6</v>
      </c>
      <c r="C51" s="50">
        <v>7</v>
      </c>
      <c r="D51" s="50">
        <v>26</v>
      </c>
      <c r="E51" s="87" t="s">
        <v>740</v>
      </c>
      <c r="F51" s="105" t="s">
        <v>357</v>
      </c>
      <c r="G51" s="92">
        <v>14</v>
      </c>
      <c r="H51" s="37" t="str">
        <f>VLOOKUP(G51,祭礼会計コード!$C$2:$D$43,2,FALSE)</f>
        <v>連合渡御諸経費</v>
      </c>
      <c r="I51" s="106" t="s">
        <v>913</v>
      </c>
      <c r="J51" s="276">
        <v>15000</v>
      </c>
      <c r="K51" s="276"/>
      <c r="L51" s="50" t="s">
        <v>872</v>
      </c>
      <c r="M51" s="284">
        <f ca="1">OFFSET(M51,-1,0)+K51-J51</f>
        <v>890280</v>
      </c>
      <c r="N51" s="284">
        <f t="shared" ca="1" si="5"/>
        <v>1907</v>
      </c>
      <c r="O51" s="284">
        <f t="shared" ca="1" si="5"/>
        <v>332292</v>
      </c>
      <c r="P51" s="284">
        <f t="shared" ca="1" si="5"/>
        <v>301290</v>
      </c>
      <c r="Q51" s="284">
        <f t="shared" ca="1" si="5"/>
        <v>-41500</v>
      </c>
      <c r="R51" s="284">
        <f t="shared" ca="1" si="5"/>
        <v>-58709</v>
      </c>
      <c r="S51" s="284">
        <f t="shared" ca="1" si="5"/>
        <v>350000</v>
      </c>
      <c r="T51" s="284">
        <f t="shared" ca="1" si="5"/>
        <v>5000</v>
      </c>
      <c r="U51" s="92" t="b">
        <f t="shared" ref="U51" ca="1" si="41">M51=SUM(N51:T51)</f>
        <v>1</v>
      </c>
      <c r="V51" s="88"/>
      <c r="X51" s="277"/>
    </row>
    <row r="52" spans="1:25" s="86" customFormat="1" ht="21" customHeight="1" x14ac:dyDescent="0.15">
      <c r="A52" s="50">
        <f t="shared" si="3"/>
        <v>49</v>
      </c>
      <c r="B52" s="363">
        <v>6</v>
      </c>
      <c r="C52" s="50">
        <v>7</v>
      </c>
      <c r="D52" s="50">
        <v>27</v>
      </c>
      <c r="E52" s="87" t="s">
        <v>740</v>
      </c>
      <c r="F52" s="105" t="s">
        <v>596</v>
      </c>
      <c r="G52" s="92">
        <v>5</v>
      </c>
      <c r="H52" s="37" t="str">
        <f>VLOOKUP(G52,祭礼会計コード!$C$2:$D$43,2,FALSE)</f>
        <v>渉外費</v>
      </c>
      <c r="I52" s="106" t="s">
        <v>597</v>
      </c>
      <c r="J52" s="276">
        <v>5000</v>
      </c>
      <c r="K52" s="276"/>
      <c r="L52" s="50" t="s">
        <v>872</v>
      </c>
      <c r="M52" s="284">
        <f ca="1">OFFSET(M52,-1,0)+K52-J52</f>
        <v>885280</v>
      </c>
      <c r="N52" s="284">
        <f t="shared" ca="1" si="5"/>
        <v>1907</v>
      </c>
      <c r="O52" s="284">
        <f t="shared" ca="1" si="5"/>
        <v>332292</v>
      </c>
      <c r="P52" s="284">
        <f t="shared" ca="1" si="5"/>
        <v>301290</v>
      </c>
      <c r="Q52" s="284">
        <f t="shared" ca="1" si="5"/>
        <v>-46500</v>
      </c>
      <c r="R52" s="284">
        <f t="shared" ca="1" si="5"/>
        <v>-58709</v>
      </c>
      <c r="S52" s="284">
        <f t="shared" ca="1" si="5"/>
        <v>350000</v>
      </c>
      <c r="T52" s="284">
        <f t="shared" ca="1" si="5"/>
        <v>5000</v>
      </c>
      <c r="U52" s="92" t="b">
        <f t="shared" ref="U52" ca="1" si="42">M52=SUM(N52:T52)</f>
        <v>1</v>
      </c>
      <c r="V52" s="88"/>
      <c r="X52" s="277"/>
    </row>
    <row r="53" spans="1:25" s="86" customFormat="1" ht="21" customHeight="1" x14ac:dyDescent="0.15">
      <c r="A53" s="400">
        <f t="shared" si="3"/>
        <v>50</v>
      </c>
      <c r="B53" s="400">
        <v>6</v>
      </c>
      <c r="C53" s="400">
        <v>7</v>
      </c>
      <c r="D53" s="400">
        <v>28</v>
      </c>
      <c r="E53" s="400"/>
      <c r="F53" s="392" t="s">
        <v>648</v>
      </c>
      <c r="G53" s="349" t="s">
        <v>936</v>
      </c>
      <c r="H53" s="392"/>
      <c r="I53" s="404" t="s">
        <v>860</v>
      </c>
      <c r="J53" s="393">
        <v>200000</v>
      </c>
      <c r="K53" s="401"/>
      <c r="L53" s="402" t="s">
        <v>659</v>
      </c>
      <c r="M53" s="403">
        <f t="shared" ca="1" si="40"/>
        <v>685280</v>
      </c>
      <c r="N53" s="103">
        <f t="shared" ca="1" si="5"/>
        <v>1907</v>
      </c>
      <c r="O53" s="103">
        <f t="shared" ca="1" si="5"/>
        <v>332292</v>
      </c>
      <c r="P53" s="103">
        <f t="shared" ca="1" si="5"/>
        <v>101290</v>
      </c>
      <c r="Q53" s="103">
        <f t="shared" ca="1" si="5"/>
        <v>-46500</v>
      </c>
      <c r="R53" s="103">
        <f t="shared" ca="1" si="5"/>
        <v>-58709</v>
      </c>
      <c r="S53" s="103">
        <f t="shared" ca="1" si="5"/>
        <v>350000</v>
      </c>
      <c r="T53" s="103">
        <f t="shared" ca="1" si="1"/>
        <v>5000</v>
      </c>
      <c r="U53" s="92" t="b">
        <f t="shared" ca="1" si="39"/>
        <v>1</v>
      </c>
      <c r="V53" s="404" t="s">
        <v>933</v>
      </c>
      <c r="X53" s="277"/>
    </row>
    <row r="54" spans="1:25" s="86" customFormat="1" ht="21" customHeight="1" x14ac:dyDescent="0.15">
      <c r="A54" s="400">
        <f t="shared" si="3"/>
        <v>51</v>
      </c>
      <c r="B54" s="400">
        <v>6</v>
      </c>
      <c r="C54" s="400">
        <v>7</v>
      </c>
      <c r="D54" s="400">
        <v>28</v>
      </c>
      <c r="E54" s="400"/>
      <c r="F54" s="392" t="s">
        <v>648</v>
      </c>
      <c r="G54" s="349" t="s">
        <v>936</v>
      </c>
      <c r="H54" s="392"/>
      <c r="I54" s="404" t="s">
        <v>861</v>
      </c>
      <c r="J54" s="393">
        <v>80000</v>
      </c>
      <c r="K54" s="401"/>
      <c r="L54" s="402" t="s">
        <v>659</v>
      </c>
      <c r="M54" s="403">
        <f t="shared" ref="M54" ca="1" si="43">OFFSET(M54,-1,0)+K54-J54</f>
        <v>605280</v>
      </c>
      <c r="N54" s="103">
        <f ca="1">IF($L54=N$2,OFFSET(N54,-1,0)+$K54-$J54,OFFSET(N54,-1,0))</f>
        <v>1907</v>
      </c>
      <c r="O54" s="103">
        <f ca="1">IF($L54=O$2,OFFSET(O54,-1,0)+$K54-$J54,OFFSET(O54,-1,0))</f>
        <v>332292</v>
      </c>
      <c r="P54" s="103">
        <f ca="1">IF($L54=P$2,OFFSET(P54,-1,0)+$K54-$J54,OFFSET(P54,-1,0))</f>
        <v>21290</v>
      </c>
      <c r="Q54" s="103">
        <f ca="1">IF($L54=Q$2,OFFSET(Q54,-1,0)+$K54-$J54,OFFSET(Q54,-1,0))</f>
        <v>-46500</v>
      </c>
      <c r="R54" s="103">
        <f ca="1">IF($L54=R$2,OFFSET(R54,-1,0)+$K54-$J54,OFFSET(R54,-1,0))</f>
        <v>-58709</v>
      </c>
      <c r="S54" s="103">
        <f ca="1">IF($L54=S$2,OFFSET(S54,-1,0)+$K54-$J54,OFFSET(S54,-1,0))</f>
        <v>350000</v>
      </c>
      <c r="T54" s="103">
        <f ca="1">IF($L54=T$2,OFFSET(T54,-1,0)+$K54-$J54,OFFSET(T54,-1,0))</f>
        <v>5000</v>
      </c>
      <c r="U54" s="92" t="b">
        <f ca="1">M54=SUM(N54:T54)</f>
        <v>1</v>
      </c>
      <c r="V54" s="404" t="s">
        <v>934</v>
      </c>
      <c r="X54" s="277"/>
    </row>
    <row r="55" spans="1:25" s="86" customFormat="1" ht="21" customHeight="1" x14ac:dyDescent="0.15">
      <c r="A55" s="50">
        <f t="shared" si="3"/>
        <v>52</v>
      </c>
      <c r="B55" s="50">
        <v>6</v>
      </c>
      <c r="C55" s="50">
        <v>7</v>
      </c>
      <c r="D55" s="50">
        <v>28</v>
      </c>
      <c r="E55" s="50"/>
      <c r="F55" s="278" t="s">
        <v>700</v>
      </c>
      <c r="G55" s="92">
        <v>7</v>
      </c>
      <c r="H55" s="88" t="s">
        <v>620</v>
      </c>
      <c r="I55" s="78" t="s">
        <v>146</v>
      </c>
      <c r="J55" s="276">
        <v>17889</v>
      </c>
      <c r="K55" s="276"/>
      <c r="L55" s="50" t="s">
        <v>191</v>
      </c>
      <c r="M55" s="284">
        <f ca="1">OFFSET(M55,-1,0)+K55-J55</f>
        <v>587391</v>
      </c>
      <c r="N55" s="284">
        <f t="shared" ca="1" si="5"/>
        <v>1907</v>
      </c>
      <c r="O55" s="284">
        <f t="shared" ca="1" si="5"/>
        <v>332292</v>
      </c>
      <c r="P55" s="284">
        <f t="shared" ca="1" si="5"/>
        <v>21290</v>
      </c>
      <c r="Q55" s="284">
        <f t="shared" ca="1" si="5"/>
        <v>-46500</v>
      </c>
      <c r="R55" s="284">
        <f t="shared" ca="1" si="5"/>
        <v>-76598</v>
      </c>
      <c r="S55" s="284">
        <f t="shared" ca="1" si="5"/>
        <v>350000</v>
      </c>
      <c r="T55" s="284">
        <f t="shared" ca="1" si="1"/>
        <v>5000</v>
      </c>
      <c r="U55" s="92" t="b">
        <f ca="1">M55=SUM(N55:T55)</f>
        <v>1</v>
      </c>
      <c r="V55" s="88"/>
      <c r="X55" s="277"/>
    </row>
    <row r="56" spans="1:25" s="86" customFormat="1" ht="21" customHeight="1" x14ac:dyDescent="0.15">
      <c r="A56" s="50">
        <f t="shared" si="3"/>
        <v>53</v>
      </c>
      <c r="B56" s="50">
        <v>6</v>
      </c>
      <c r="C56" s="50">
        <v>7</v>
      </c>
      <c r="D56" s="50">
        <v>28</v>
      </c>
      <c r="E56" s="50"/>
      <c r="F56" s="78" t="s">
        <v>174</v>
      </c>
      <c r="G56" s="92" t="s">
        <v>227</v>
      </c>
      <c r="H56" s="88" t="s">
        <v>396</v>
      </c>
      <c r="I56" s="273" t="s">
        <v>864</v>
      </c>
      <c r="J56" s="276"/>
      <c r="K56" s="276">
        <v>4900</v>
      </c>
      <c r="L56" s="50" t="s">
        <v>867</v>
      </c>
      <c r="M56" s="284">
        <f t="shared" ca="1" si="4"/>
        <v>592291</v>
      </c>
      <c r="N56" s="284">
        <f t="shared" ca="1" si="5"/>
        <v>1907</v>
      </c>
      <c r="O56" s="284">
        <f t="shared" ca="1" si="5"/>
        <v>337192</v>
      </c>
      <c r="P56" s="284">
        <f t="shared" ca="1" si="5"/>
        <v>21290</v>
      </c>
      <c r="Q56" s="284">
        <f t="shared" ca="1" si="5"/>
        <v>-46500</v>
      </c>
      <c r="R56" s="284">
        <f t="shared" ca="1" si="5"/>
        <v>-76598</v>
      </c>
      <c r="S56" s="284">
        <f t="shared" ca="1" si="5"/>
        <v>350000</v>
      </c>
      <c r="T56" s="284">
        <f t="shared" ca="1" si="1"/>
        <v>5000</v>
      </c>
      <c r="U56" s="92" t="b">
        <f t="shared" ref="U56:U57" ca="1" si="44">M56=SUM(N56:T56)</f>
        <v>1</v>
      </c>
      <c r="V56" s="88" t="s">
        <v>862</v>
      </c>
      <c r="X56" s="277"/>
    </row>
    <row r="57" spans="1:25" s="100" customFormat="1" ht="21" customHeight="1" x14ac:dyDescent="0.15">
      <c r="A57" s="41">
        <f t="shared" si="3"/>
        <v>54</v>
      </c>
      <c r="B57" s="50">
        <v>6</v>
      </c>
      <c r="C57" s="50">
        <v>7</v>
      </c>
      <c r="D57" s="50">
        <v>28</v>
      </c>
      <c r="E57" s="50"/>
      <c r="F57" s="78" t="s">
        <v>701</v>
      </c>
      <c r="G57" s="41">
        <v>6</v>
      </c>
      <c r="H57" s="88" t="s">
        <v>618</v>
      </c>
      <c r="I57" s="273" t="s">
        <v>160</v>
      </c>
      <c r="J57" s="101">
        <v>198</v>
      </c>
      <c r="K57" s="101"/>
      <c r="L57" s="50" t="s">
        <v>191</v>
      </c>
      <c r="M57" s="103">
        <f t="shared" ref="M57:M58" ca="1" si="45">OFFSET(M57,-1,0)+K57-J57</f>
        <v>592093</v>
      </c>
      <c r="N57" s="103">
        <f t="shared" ca="1" si="5"/>
        <v>1907</v>
      </c>
      <c r="O57" s="103">
        <f t="shared" ca="1" si="5"/>
        <v>337192</v>
      </c>
      <c r="P57" s="103">
        <f t="shared" ca="1" si="5"/>
        <v>21290</v>
      </c>
      <c r="Q57" s="103">
        <f t="shared" ca="1" si="5"/>
        <v>-46500</v>
      </c>
      <c r="R57" s="103">
        <f t="shared" ca="1" si="5"/>
        <v>-76796</v>
      </c>
      <c r="S57" s="103">
        <f t="shared" ca="1" si="5"/>
        <v>350000</v>
      </c>
      <c r="T57" s="103">
        <f t="shared" ca="1" si="1"/>
        <v>5000</v>
      </c>
      <c r="U57" s="102" t="b">
        <f t="shared" ca="1" si="44"/>
        <v>1</v>
      </c>
      <c r="V57" s="37"/>
      <c r="Y57" s="104"/>
    </row>
    <row r="58" spans="1:25" s="86" customFormat="1" ht="21" customHeight="1" x14ac:dyDescent="0.15">
      <c r="A58" s="50">
        <f t="shared" si="3"/>
        <v>55</v>
      </c>
      <c r="B58" s="50">
        <v>6</v>
      </c>
      <c r="C58" s="50">
        <v>7</v>
      </c>
      <c r="D58" s="50">
        <v>28</v>
      </c>
      <c r="E58" s="50"/>
      <c r="F58" s="278" t="s">
        <v>364</v>
      </c>
      <c r="G58" s="92">
        <v>12</v>
      </c>
      <c r="H58" s="88" t="s">
        <v>623</v>
      </c>
      <c r="I58" s="279" t="s">
        <v>705</v>
      </c>
      <c r="J58" s="276">
        <v>98000</v>
      </c>
      <c r="K58" s="276"/>
      <c r="L58" s="50" t="s">
        <v>867</v>
      </c>
      <c r="M58" s="284">
        <f t="shared" ca="1" si="45"/>
        <v>494093</v>
      </c>
      <c r="N58" s="284">
        <f t="shared" ref="N58:T70" ca="1" si="46">IF($L58=N$2,OFFSET(N58,-1,0)+$K58-$J58,OFFSET(N58,-1,0))</f>
        <v>1907</v>
      </c>
      <c r="O58" s="284">
        <f t="shared" ca="1" si="46"/>
        <v>239192</v>
      </c>
      <c r="P58" s="284">
        <f t="shared" ca="1" si="46"/>
        <v>21290</v>
      </c>
      <c r="Q58" s="284">
        <f t="shared" ca="1" si="46"/>
        <v>-46500</v>
      </c>
      <c r="R58" s="284">
        <f t="shared" ca="1" si="46"/>
        <v>-76796</v>
      </c>
      <c r="S58" s="284">
        <f t="shared" ca="1" si="46"/>
        <v>350000</v>
      </c>
      <c r="T58" s="284">
        <f t="shared" ca="1" si="1"/>
        <v>5000</v>
      </c>
      <c r="U58" s="92" t="b">
        <f t="shared" ref="U58:U70" ca="1" si="47">M58=SUM(N58:T58)</f>
        <v>1</v>
      </c>
      <c r="V58" s="88"/>
      <c r="X58" s="277"/>
    </row>
    <row r="59" spans="1:25" s="86" customFormat="1" ht="21" customHeight="1" x14ac:dyDescent="0.15">
      <c r="A59" s="50">
        <f t="shared" si="3"/>
        <v>56</v>
      </c>
      <c r="B59" s="50">
        <v>6</v>
      </c>
      <c r="C59" s="50">
        <v>7</v>
      </c>
      <c r="D59" s="50">
        <v>30</v>
      </c>
      <c r="E59" s="87" t="s">
        <v>740</v>
      </c>
      <c r="F59" s="105" t="s">
        <v>607</v>
      </c>
      <c r="G59" s="102">
        <v>11</v>
      </c>
      <c r="H59" s="37" t="s">
        <v>233</v>
      </c>
      <c r="I59" s="106" t="s">
        <v>595</v>
      </c>
      <c r="J59" s="101">
        <v>1100</v>
      </c>
      <c r="K59" s="276"/>
      <c r="L59" s="92" t="s">
        <v>200</v>
      </c>
      <c r="M59" s="284">
        <f t="shared" ref="M59" ca="1" si="48">OFFSET(M59,-1,0)+K59-J59</f>
        <v>492993</v>
      </c>
      <c r="N59" s="284">
        <f t="shared" ca="1" si="46"/>
        <v>1907</v>
      </c>
      <c r="O59" s="284">
        <f t="shared" ca="1" si="46"/>
        <v>239192</v>
      </c>
      <c r="P59" s="284">
        <f t="shared" ca="1" si="46"/>
        <v>21290</v>
      </c>
      <c r="Q59" s="284">
        <f t="shared" ca="1" si="46"/>
        <v>-47600</v>
      </c>
      <c r="R59" s="284">
        <f t="shared" ca="1" si="46"/>
        <v>-76796</v>
      </c>
      <c r="S59" s="284">
        <f t="shared" ca="1" si="46"/>
        <v>350000</v>
      </c>
      <c r="T59" s="284">
        <f t="shared" ca="1" si="1"/>
        <v>5000</v>
      </c>
      <c r="U59" s="92" t="b">
        <f t="shared" ref="U59" ca="1" si="49">M59=SUM(N59:T59)</f>
        <v>1</v>
      </c>
      <c r="V59" s="88" t="s">
        <v>914</v>
      </c>
      <c r="X59" s="277"/>
    </row>
    <row r="60" spans="1:25" s="86" customFormat="1" ht="21" customHeight="1" x14ac:dyDescent="0.15">
      <c r="A60" s="50">
        <f t="shared" si="3"/>
        <v>57</v>
      </c>
      <c r="B60" s="363">
        <v>6</v>
      </c>
      <c r="C60" s="50">
        <v>8</v>
      </c>
      <c r="D60" s="50">
        <v>4</v>
      </c>
      <c r="E60" s="87" t="s">
        <v>740</v>
      </c>
      <c r="F60" s="105" t="s">
        <v>594</v>
      </c>
      <c r="G60" s="92">
        <v>5</v>
      </c>
      <c r="H60" s="37" t="str">
        <f>VLOOKUP(G60,祭礼会計コード!$C$2:$D$43,2,FALSE)</f>
        <v>渉外費</v>
      </c>
      <c r="I60" s="106" t="s">
        <v>729</v>
      </c>
      <c r="J60" s="276">
        <v>5000</v>
      </c>
      <c r="K60" s="276"/>
      <c r="L60" s="50" t="s">
        <v>872</v>
      </c>
      <c r="M60" s="284">
        <f ca="1">OFFSET(M60,-1,0)+K60-J60</f>
        <v>487993</v>
      </c>
      <c r="N60" s="284">
        <f t="shared" ca="1" si="46"/>
        <v>1907</v>
      </c>
      <c r="O60" s="284">
        <f t="shared" ca="1" si="46"/>
        <v>239192</v>
      </c>
      <c r="P60" s="284">
        <f t="shared" ca="1" si="46"/>
        <v>21290</v>
      </c>
      <c r="Q60" s="284">
        <f t="shared" ca="1" si="46"/>
        <v>-52600</v>
      </c>
      <c r="R60" s="284">
        <f t="shared" ca="1" si="46"/>
        <v>-76796</v>
      </c>
      <c r="S60" s="284">
        <f t="shared" ca="1" si="46"/>
        <v>350000</v>
      </c>
      <c r="T60" s="284">
        <f t="shared" ca="1" si="46"/>
        <v>5000</v>
      </c>
      <c r="U60" s="92" t="b">
        <f t="shared" ref="U60" ca="1" si="50">M60=SUM(N60:T60)</f>
        <v>1</v>
      </c>
      <c r="V60" s="88" t="s">
        <v>915</v>
      </c>
      <c r="X60" s="277"/>
    </row>
    <row r="61" spans="1:25" s="86" customFormat="1" ht="21" customHeight="1" x14ac:dyDescent="0.15">
      <c r="A61" s="50">
        <f t="shared" si="3"/>
        <v>58</v>
      </c>
      <c r="B61" s="50">
        <v>6</v>
      </c>
      <c r="C61" s="50">
        <v>8</v>
      </c>
      <c r="D61" s="50">
        <v>8</v>
      </c>
      <c r="E61" s="87" t="s">
        <v>740</v>
      </c>
      <c r="F61" s="105" t="s">
        <v>852</v>
      </c>
      <c r="G61" s="102" t="s">
        <v>680</v>
      </c>
      <c r="H61" s="88" t="s">
        <v>46</v>
      </c>
      <c r="I61" s="106" t="s">
        <v>731</v>
      </c>
      <c r="J61" s="276">
        <v>286664</v>
      </c>
      <c r="K61" s="276"/>
      <c r="L61" s="92" t="s">
        <v>703</v>
      </c>
      <c r="M61" s="284">
        <f t="shared" ref="M61:M63" ca="1" si="51">OFFSET(M61,-1,0)+K61-J61</f>
        <v>201329</v>
      </c>
      <c r="N61" s="284">
        <f t="shared" ca="1" si="46"/>
        <v>1907</v>
      </c>
      <c r="O61" s="284">
        <f t="shared" ca="1" si="46"/>
        <v>239192</v>
      </c>
      <c r="P61" s="284">
        <f t="shared" ca="1" si="46"/>
        <v>21290</v>
      </c>
      <c r="Q61" s="284">
        <f t="shared" ca="1" si="46"/>
        <v>-52600</v>
      </c>
      <c r="R61" s="284">
        <f t="shared" ca="1" si="46"/>
        <v>-76796</v>
      </c>
      <c r="S61" s="284">
        <f t="shared" ca="1" si="46"/>
        <v>63336</v>
      </c>
      <c r="T61" s="284">
        <f t="shared" ca="1" si="1"/>
        <v>5000</v>
      </c>
      <c r="U61" s="92" t="b">
        <f t="shared" ref="U61:U63" ca="1" si="52">M61=SUM(N61:T61)</f>
        <v>1</v>
      </c>
      <c r="V61" s="88"/>
      <c r="X61" s="277"/>
    </row>
    <row r="62" spans="1:25" s="86" customFormat="1" ht="21" customHeight="1" x14ac:dyDescent="0.15">
      <c r="A62" s="50">
        <f t="shared" si="3"/>
        <v>59</v>
      </c>
      <c r="B62" s="50">
        <v>6</v>
      </c>
      <c r="C62" s="50">
        <v>8</v>
      </c>
      <c r="D62" s="50">
        <v>8</v>
      </c>
      <c r="E62" s="87" t="s">
        <v>740</v>
      </c>
      <c r="F62" s="105" t="s">
        <v>853</v>
      </c>
      <c r="G62" s="102">
        <v>11</v>
      </c>
      <c r="H62" s="37" t="s">
        <v>233</v>
      </c>
      <c r="I62" s="106" t="s">
        <v>731</v>
      </c>
      <c r="J62" s="276">
        <v>47806</v>
      </c>
      <c r="K62" s="276"/>
      <c r="L62" s="92" t="s">
        <v>703</v>
      </c>
      <c r="M62" s="284">
        <f t="shared" ref="M62" ca="1" si="53">OFFSET(M62,-1,0)+K62-J62</f>
        <v>153523</v>
      </c>
      <c r="N62" s="284">
        <f t="shared" ca="1" si="46"/>
        <v>1907</v>
      </c>
      <c r="O62" s="284">
        <f t="shared" ca="1" si="46"/>
        <v>239192</v>
      </c>
      <c r="P62" s="284">
        <f t="shared" ca="1" si="46"/>
        <v>21290</v>
      </c>
      <c r="Q62" s="284">
        <f t="shared" ca="1" si="46"/>
        <v>-52600</v>
      </c>
      <c r="R62" s="284">
        <f t="shared" ca="1" si="46"/>
        <v>-76796</v>
      </c>
      <c r="S62" s="284">
        <f t="shared" ca="1" si="46"/>
        <v>15530</v>
      </c>
      <c r="T62" s="284">
        <f t="shared" ca="1" si="1"/>
        <v>5000</v>
      </c>
      <c r="U62" s="92" t="b">
        <f t="shared" ref="U62" ca="1" si="54">M62=SUM(N62:T62)</f>
        <v>1</v>
      </c>
      <c r="V62" s="88" t="s">
        <v>868</v>
      </c>
      <c r="X62" s="277"/>
    </row>
    <row r="63" spans="1:25" s="86" customFormat="1" ht="21" customHeight="1" x14ac:dyDescent="0.15">
      <c r="A63" s="328">
        <f t="shared" si="3"/>
        <v>60</v>
      </c>
      <c r="B63" s="328">
        <v>6</v>
      </c>
      <c r="C63" s="328">
        <v>8</v>
      </c>
      <c r="D63" s="328">
        <v>8</v>
      </c>
      <c r="E63" s="328"/>
      <c r="F63" s="159" t="s">
        <v>854</v>
      </c>
      <c r="G63" s="161" t="s">
        <v>936</v>
      </c>
      <c r="H63" s="99"/>
      <c r="I63" s="160"/>
      <c r="J63" s="255">
        <v>15530</v>
      </c>
      <c r="K63" s="255"/>
      <c r="L63" s="280" t="s">
        <v>703</v>
      </c>
      <c r="M63" s="329">
        <f t="shared" ca="1" si="51"/>
        <v>137993</v>
      </c>
      <c r="N63" s="329">
        <f t="shared" ca="1" si="46"/>
        <v>1907</v>
      </c>
      <c r="O63" s="329">
        <f t="shared" ca="1" si="46"/>
        <v>239192</v>
      </c>
      <c r="P63" s="329">
        <f t="shared" ca="1" si="46"/>
        <v>21290</v>
      </c>
      <c r="Q63" s="329">
        <f t="shared" ca="1" si="46"/>
        <v>-52600</v>
      </c>
      <c r="R63" s="329">
        <f t="shared" ca="1" si="46"/>
        <v>-76796</v>
      </c>
      <c r="S63" s="329">
        <f t="shared" ca="1" si="46"/>
        <v>0</v>
      </c>
      <c r="T63" s="329">
        <f t="shared" ca="1" si="1"/>
        <v>5000</v>
      </c>
      <c r="U63" s="92" t="b">
        <f t="shared" ca="1" si="52"/>
        <v>1</v>
      </c>
      <c r="V63" s="218"/>
      <c r="X63" s="277"/>
    </row>
    <row r="64" spans="1:25" s="86" customFormat="1" ht="21" customHeight="1" x14ac:dyDescent="0.15">
      <c r="A64" s="328">
        <f t="shared" si="3"/>
        <v>61</v>
      </c>
      <c r="B64" s="328">
        <v>6</v>
      </c>
      <c r="C64" s="328">
        <v>8</v>
      </c>
      <c r="D64" s="328">
        <v>8</v>
      </c>
      <c r="E64" s="328"/>
      <c r="F64" s="159" t="s">
        <v>854</v>
      </c>
      <c r="G64" s="161" t="s">
        <v>865</v>
      </c>
      <c r="H64" s="99"/>
      <c r="I64" s="160"/>
      <c r="J64" s="255"/>
      <c r="K64" s="255">
        <v>15530</v>
      </c>
      <c r="L64" s="328" t="s">
        <v>867</v>
      </c>
      <c r="M64" s="329">
        <f t="shared" ref="M64:M65" ca="1" si="55">OFFSET(M64,-1,0)+K64-J64</f>
        <v>153523</v>
      </c>
      <c r="N64" s="329">
        <f t="shared" ca="1" si="46"/>
        <v>1907</v>
      </c>
      <c r="O64" s="329">
        <f t="shared" ca="1" si="46"/>
        <v>254722</v>
      </c>
      <c r="P64" s="329">
        <f t="shared" ca="1" si="46"/>
        <v>21290</v>
      </c>
      <c r="Q64" s="329">
        <f t="shared" ca="1" si="46"/>
        <v>-52600</v>
      </c>
      <c r="R64" s="329">
        <f t="shared" ca="1" si="46"/>
        <v>-76796</v>
      </c>
      <c r="S64" s="329">
        <f t="shared" ca="1" si="46"/>
        <v>0</v>
      </c>
      <c r="T64" s="329">
        <f t="shared" ca="1" si="1"/>
        <v>5000</v>
      </c>
      <c r="U64" s="92" t="b">
        <f t="shared" ref="U64:U65" ca="1" si="56">M64=SUM(N64:T64)</f>
        <v>1</v>
      </c>
      <c r="V64" s="218"/>
      <c r="X64" s="277"/>
    </row>
    <row r="65" spans="1:25" s="86" customFormat="1" ht="21" customHeight="1" x14ac:dyDescent="0.15">
      <c r="A65" s="50">
        <f t="shared" si="3"/>
        <v>62</v>
      </c>
      <c r="B65" s="50">
        <v>6</v>
      </c>
      <c r="C65" s="50">
        <v>8</v>
      </c>
      <c r="D65" s="50">
        <v>11</v>
      </c>
      <c r="E65" s="50"/>
      <c r="F65" s="105" t="s">
        <v>855</v>
      </c>
      <c r="G65" s="102">
        <v>13</v>
      </c>
      <c r="H65" s="37" t="s">
        <v>625</v>
      </c>
      <c r="I65" s="106" t="s">
        <v>731</v>
      </c>
      <c r="J65" s="101">
        <v>27579</v>
      </c>
      <c r="K65" s="276"/>
      <c r="L65" s="92" t="s">
        <v>242</v>
      </c>
      <c r="M65" s="284">
        <f t="shared" ca="1" si="55"/>
        <v>125944</v>
      </c>
      <c r="N65" s="284">
        <f t="shared" ca="1" si="46"/>
        <v>1907</v>
      </c>
      <c r="O65" s="284">
        <f t="shared" ca="1" si="46"/>
        <v>254722</v>
      </c>
      <c r="P65" s="284">
        <f t="shared" ca="1" si="46"/>
        <v>21290</v>
      </c>
      <c r="Q65" s="284">
        <f t="shared" ca="1" si="46"/>
        <v>-52600</v>
      </c>
      <c r="R65" s="284">
        <f t="shared" ca="1" si="46"/>
        <v>-76796</v>
      </c>
      <c r="S65" s="284">
        <f t="shared" ca="1" si="46"/>
        <v>0</v>
      </c>
      <c r="T65" s="284">
        <f t="shared" ca="1" si="1"/>
        <v>-22579</v>
      </c>
      <c r="U65" s="92" t="b">
        <f t="shared" ca="1" si="56"/>
        <v>1</v>
      </c>
      <c r="V65" s="88"/>
      <c r="X65" s="277"/>
    </row>
    <row r="66" spans="1:25" s="86" customFormat="1" ht="21" customHeight="1" x14ac:dyDescent="0.15">
      <c r="A66" s="328">
        <f t="shared" si="3"/>
        <v>63</v>
      </c>
      <c r="B66" s="328">
        <v>6</v>
      </c>
      <c r="C66" s="328">
        <v>8</v>
      </c>
      <c r="D66" s="328">
        <v>11</v>
      </c>
      <c r="E66" s="328"/>
      <c r="F66" s="159" t="s">
        <v>360</v>
      </c>
      <c r="G66" s="161" t="s">
        <v>936</v>
      </c>
      <c r="H66" s="99"/>
      <c r="I66" s="160"/>
      <c r="J66" s="255">
        <v>22579</v>
      </c>
      <c r="K66" s="356"/>
      <c r="L66" s="50" t="s">
        <v>867</v>
      </c>
      <c r="M66" s="329">
        <f t="shared" ref="M66" ca="1" si="57">OFFSET(M66,-1,0)+K66-J66</f>
        <v>103365</v>
      </c>
      <c r="N66" s="329">
        <f t="shared" ca="1" si="46"/>
        <v>1907</v>
      </c>
      <c r="O66" s="329">
        <f t="shared" ca="1" si="46"/>
        <v>232143</v>
      </c>
      <c r="P66" s="329">
        <f t="shared" ca="1" si="46"/>
        <v>21290</v>
      </c>
      <c r="Q66" s="329">
        <f t="shared" ca="1" si="46"/>
        <v>-52600</v>
      </c>
      <c r="R66" s="329">
        <f t="shared" ca="1" si="46"/>
        <v>-76796</v>
      </c>
      <c r="S66" s="329">
        <f t="shared" ca="1" si="46"/>
        <v>0</v>
      </c>
      <c r="T66" s="329">
        <f t="shared" ca="1" si="1"/>
        <v>-22579</v>
      </c>
      <c r="U66" s="92" t="b">
        <f t="shared" ref="U66" ca="1" si="58">M66=SUM(N66:T66)</f>
        <v>1</v>
      </c>
      <c r="V66" s="218" t="s">
        <v>869</v>
      </c>
      <c r="X66" s="277"/>
    </row>
    <row r="67" spans="1:25" s="86" customFormat="1" ht="21" customHeight="1" x14ac:dyDescent="0.15">
      <c r="A67" s="328">
        <f t="shared" si="3"/>
        <v>64</v>
      </c>
      <c r="B67" s="328">
        <v>6</v>
      </c>
      <c r="C67" s="328">
        <v>8</v>
      </c>
      <c r="D67" s="328">
        <v>11</v>
      </c>
      <c r="E67" s="328"/>
      <c r="F67" s="159" t="s">
        <v>360</v>
      </c>
      <c r="G67" s="161" t="s">
        <v>865</v>
      </c>
      <c r="H67" s="99"/>
      <c r="I67" s="160"/>
      <c r="J67" s="255"/>
      <c r="K67" s="255">
        <v>22579</v>
      </c>
      <c r="L67" s="280" t="s">
        <v>242</v>
      </c>
      <c r="M67" s="329">
        <f t="shared" ref="M67:M68" ca="1" si="59">OFFSET(M67,-1,0)+K67-J67</f>
        <v>125944</v>
      </c>
      <c r="N67" s="329">
        <f t="shared" ca="1" si="46"/>
        <v>1907</v>
      </c>
      <c r="O67" s="329">
        <f t="shared" ca="1" si="46"/>
        <v>232143</v>
      </c>
      <c r="P67" s="329">
        <f t="shared" ca="1" si="46"/>
        <v>21290</v>
      </c>
      <c r="Q67" s="329">
        <f t="shared" ca="1" si="46"/>
        <v>-52600</v>
      </c>
      <c r="R67" s="329">
        <f t="shared" ca="1" si="46"/>
        <v>-76796</v>
      </c>
      <c r="S67" s="329">
        <f t="shared" ca="1" si="46"/>
        <v>0</v>
      </c>
      <c r="T67" s="329">
        <f t="shared" ca="1" si="1"/>
        <v>0</v>
      </c>
      <c r="U67" s="92" t="b">
        <f t="shared" ref="U67:U68" ca="1" si="60">M67=SUM(N67:T67)</f>
        <v>1</v>
      </c>
      <c r="V67" s="218" t="s">
        <v>863</v>
      </c>
      <c r="X67" s="277"/>
    </row>
    <row r="68" spans="1:25" s="86" customFormat="1" ht="21" customHeight="1" x14ac:dyDescent="0.15">
      <c r="A68" s="328">
        <f t="shared" si="3"/>
        <v>65</v>
      </c>
      <c r="B68" s="328">
        <v>6</v>
      </c>
      <c r="C68" s="328">
        <v>8</v>
      </c>
      <c r="D68" s="328">
        <v>14</v>
      </c>
      <c r="E68" s="328"/>
      <c r="F68" s="159" t="s">
        <v>857</v>
      </c>
      <c r="G68" s="161" t="s">
        <v>936</v>
      </c>
      <c r="H68" s="99"/>
      <c r="I68" s="160"/>
      <c r="J68" s="255">
        <v>76796</v>
      </c>
      <c r="K68" s="356"/>
      <c r="L68" s="50" t="s">
        <v>867</v>
      </c>
      <c r="M68" s="329">
        <f t="shared" ca="1" si="59"/>
        <v>49148</v>
      </c>
      <c r="N68" s="329">
        <f t="shared" ca="1" si="46"/>
        <v>1907</v>
      </c>
      <c r="O68" s="329">
        <f t="shared" ca="1" si="46"/>
        <v>155347</v>
      </c>
      <c r="P68" s="329">
        <f t="shared" ca="1" si="46"/>
        <v>21290</v>
      </c>
      <c r="Q68" s="329">
        <f t="shared" ca="1" si="46"/>
        <v>-52600</v>
      </c>
      <c r="R68" s="329">
        <f t="shared" ca="1" si="46"/>
        <v>-76796</v>
      </c>
      <c r="S68" s="329">
        <f t="shared" ca="1" si="46"/>
        <v>0</v>
      </c>
      <c r="T68" s="329">
        <f t="shared" ca="1" si="1"/>
        <v>0</v>
      </c>
      <c r="U68" s="92" t="b">
        <f t="shared" ca="1" si="60"/>
        <v>1</v>
      </c>
      <c r="V68" s="218"/>
      <c r="X68" s="277"/>
    </row>
    <row r="69" spans="1:25" s="86" customFormat="1" ht="21" customHeight="1" x14ac:dyDescent="0.15">
      <c r="A69" s="328">
        <f t="shared" si="3"/>
        <v>66</v>
      </c>
      <c r="B69" s="328">
        <v>6</v>
      </c>
      <c r="C69" s="328">
        <v>8</v>
      </c>
      <c r="D69" s="328">
        <v>14</v>
      </c>
      <c r="E69" s="328"/>
      <c r="F69" s="159" t="s">
        <v>857</v>
      </c>
      <c r="G69" s="161" t="s">
        <v>865</v>
      </c>
      <c r="H69" s="99"/>
      <c r="I69" s="160"/>
      <c r="J69" s="255"/>
      <c r="K69" s="255">
        <v>76796</v>
      </c>
      <c r="L69" s="280" t="s">
        <v>183</v>
      </c>
      <c r="M69" s="329">
        <f t="shared" ref="M69" ca="1" si="61">OFFSET(M69,-1,0)+K69-J69</f>
        <v>125944</v>
      </c>
      <c r="N69" s="329">
        <f t="shared" ca="1" si="46"/>
        <v>1907</v>
      </c>
      <c r="O69" s="329">
        <f t="shared" ca="1" si="46"/>
        <v>155347</v>
      </c>
      <c r="P69" s="329">
        <f t="shared" ca="1" si="46"/>
        <v>21290</v>
      </c>
      <c r="Q69" s="329">
        <f t="shared" ca="1" si="46"/>
        <v>-52600</v>
      </c>
      <c r="R69" s="329">
        <f t="shared" ca="1" si="46"/>
        <v>0</v>
      </c>
      <c r="S69" s="329">
        <f t="shared" ca="1" si="46"/>
        <v>0</v>
      </c>
      <c r="T69" s="329">
        <f t="shared" ca="1" si="1"/>
        <v>0</v>
      </c>
      <c r="U69" s="92" t="b">
        <f t="shared" ref="U69" ca="1" si="62">M69=SUM(N69:T69)</f>
        <v>1</v>
      </c>
      <c r="V69" s="218"/>
      <c r="X69" s="277"/>
    </row>
    <row r="70" spans="1:25" s="268" customFormat="1" ht="21" customHeight="1" x14ac:dyDescent="0.15">
      <c r="A70" s="264">
        <f>ROW()-3</f>
        <v>67</v>
      </c>
      <c r="B70" s="50">
        <v>6</v>
      </c>
      <c r="C70" s="50">
        <v>9</v>
      </c>
      <c r="D70" s="264">
        <v>11</v>
      </c>
      <c r="E70" s="264"/>
      <c r="F70" s="266" t="s">
        <v>638</v>
      </c>
      <c r="G70" s="264" t="s">
        <v>227</v>
      </c>
      <c r="H70" s="266" t="s">
        <v>396</v>
      </c>
      <c r="I70" s="266" t="s">
        <v>16</v>
      </c>
      <c r="J70" s="267"/>
      <c r="K70" s="267"/>
      <c r="L70" s="265" t="s">
        <v>188</v>
      </c>
      <c r="M70" s="284">
        <f ca="1">OFFSET(M70,-1,0)+K70-J70</f>
        <v>125944</v>
      </c>
      <c r="N70" s="284">
        <f t="shared" ca="1" si="46"/>
        <v>1907</v>
      </c>
      <c r="O70" s="284">
        <f t="shared" ca="1" si="46"/>
        <v>155347</v>
      </c>
      <c r="P70" s="284">
        <f t="shared" ca="1" si="46"/>
        <v>21290</v>
      </c>
      <c r="Q70" s="284">
        <f t="shared" ca="1" si="46"/>
        <v>-52600</v>
      </c>
      <c r="R70" s="284">
        <f t="shared" ca="1" si="46"/>
        <v>0</v>
      </c>
      <c r="S70" s="284">
        <f t="shared" ca="1" si="46"/>
        <v>0</v>
      </c>
      <c r="T70" s="103">
        <f t="shared" ca="1" si="1"/>
        <v>0</v>
      </c>
      <c r="U70" s="265" t="b">
        <f t="shared" ca="1" si="47"/>
        <v>1</v>
      </c>
      <c r="V70" s="266"/>
    </row>
    <row r="71" spans="1:25" s="100" customFormat="1" ht="21" customHeight="1" x14ac:dyDescent="0.15">
      <c r="A71" s="41"/>
      <c r="B71" s="348"/>
      <c r="C71" s="348"/>
      <c r="D71" s="348"/>
      <c r="E71" s="348"/>
      <c r="F71" s="327" t="s">
        <v>600</v>
      </c>
      <c r="G71" s="102">
        <v>11</v>
      </c>
      <c r="H71" s="37" t="s">
        <v>233</v>
      </c>
      <c r="I71" s="7" t="s">
        <v>599</v>
      </c>
      <c r="J71" s="101"/>
      <c r="K71" s="101"/>
      <c r="L71" s="274"/>
      <c r="M71" s="103">
        <f t="shared" ref="M71:M72" ca="1" si="63">OFFSET(M71,-1,0)+K71-J71</f>
        <v>125944</v>
      </c>
      <c r="N71" s="103">
        <f t="shared" ref="N71:S72" ca="1" si="64">IF($L71=N$2,OFFSET(N71,-1,0)+$K71-$J71,OFFSET(N71,-1,0))</f>
        <v>1907</v>
      </c>
      <c r="O71" s="103">
        <f t="shared" ca="1" si="64"/>
        <v>155347</v>
      </c>
      <c r="P71" s="103">
        <f t="shared" ca="1" si="64"/>
        <v>21290</v>
      </c>
      <c r="Q71" s="103">
        <f t="shared" ca="1" si="64"/>
        <v>-52600</v>
      </c>
      <c r="R71" s="103">
        <f t="shared" ca="1" si="64"/>
        <v>0</v>
      </c>
      <c r="S71" s="103">
        <f t="shared" ca="1" si="64"/>
        <v>0</v>
      </c>
      <c r="T71" s="103">
        <f t="shared" ca="1" si="1"/>
        <v>0</v>
      </c>
      <c r="U71" s="102"/>
      <c r="V71" s="275"/>
      <c r="Y71" s="104"/>
    </row>
    <row r="72" spans="1:25" s="100" customFormat="1" ht="21" customHeight="1" x14ac:dyDescent="0.15">
      <c r="A72" s="41"/>
      <c r="B72" s="348"/>
      <c r="C72" s="348"/>
      <c r="D72" s="348"/>
      <c r="E72" s="348"/>
      <c r="F72" s="327" t="s">
        <v>596</v>
      </c>
      <c r="G72" s="102">
        <v>5</v>
      </c>
      <c r="H72" s="37" t="s">
        <v>622</v>
      </c>
      <c r="I72" s="106" t="s">
        <v>597</v>
      </c>
      <c r="J72" s="101"/>
      <c r="K72" s="101"/>
      <c r="L72" s="274"/>
      <c r="M72" s="103">
        <f t="shared" ca="1" si="63"/>
        <v>125944</v>
      </c>
      <c r="N72" s="103">
        <f t="shared" ca="1" si="64"/>
        <v>1907</v>
      </c>
      <c r="O72" s="103">
        <f t="shared" ca="1" si="64"/>
        <v>155347</v>
      </c>
      <c r="P72" s="103">
        <f t="shared" ca="1" si="64"/>
        <v>21290</v>
      </c>
      <c r="Q72" s="103">
        <f t="shared" ca="1" si="64"/>
        <v>-52600</v>
      </c>
      <c r="R72" s="103">
        <f t="shared" ca="1" si="64"/>
        <v>0</v>
      </c>
      <c r="S72" s="103">
        <f t="shared" ca="1" si="64"/>
        <v>0</v>
      </c>
      <c r="T72" s="103">
        <f t="shared" ca="1" si="1"/>
        <v>0</v>
      </c>
      <c r="U72" s="102"/>
      <c r="V72" s="275"/>
      <c r="Y72" s="104"/>
    </row>
    <row r="73" spans="1:25" s="86" customFormat="1" ht="21" customHeight="1" x14ac:dyDescent="0.15">
      <c r="A73" s="50">
        <f t="shared" si="3"/>
        <v>70</v>
      </c>
      <c r="B73" s="363">
        <v>6</v>
      </c>
      <c r="C73" s="50">
        <v>7</v>
      </c>
      <c r="D73" s="50">
        <v>30</v>
      </c>
      <c r="E73" s="50"/>
      <c r="F73" s="278" t="s">
        <v>870</v>
      </c>
      <c r="G73" s="92">
        <v>11</v>
      </c>
      <c r="H73" s="37" t="str">
        <f>VLOOKUP(G73,祭礼会計コード!$C$2:$D$43,2,FALSE)</f>
        <v>雑費</v>
      </c>
      <c r="I73" s="273" t="s">
        <v>918</v>
      </c>
      <c r="J73" s="276">
        <v>1740</v>
      </c>
      <c r="K73" s="276"/>
      <c r="L73" s="50" t="s">
        <v>872</v>
      </c>
      <c r="M73" s="284">
        <f ca="1">OFFSET(M73,-1,0)+K73-J73</f>
        <v>124204</v>
      </c>
      <c r="N73" s="284">
        <f t="shared" ref="N73:T83" ca="1" si="65">IF($L73=N$2,OFFSET(N73,-1,0)+$K73-$J73,OFFSET(N73,-1,0))</f>
        <v>1907</v>
      </c>
      <c r="O73" s="284">
        <f t="shared" ca="1" si="65"/>
        <v>155347</v>
      </c>
      <c r="P73" s="284">
        <f t="shared" ca="1" si="65"/>
        <v>21290</v>
      </c>
      <c r="Q73" s="284">
        <f t="shared" ca="1" si="65"/>
        <v>-54340</v>
      </c>
      <c r="R73" s="284">
        <f t="shared" ca="1" si="65"/>
        <v>0</v>
      </c>
      <c r="S73" s="284">
        <f t="shared" ca="1" si="65"/>
        <v>0</v>
      </c>
      <c r="T73" s="284">
        <f t="shared" ca="1" si="65"/>
        <v>0</v>
      </c>
      <c r="U73" s="92" t="b">
        <f t="shared" ref="U73" ca="1" si="66">M73=SUM(N73:T73)</f>
        <v>1</v>
      </c>
      <c r="V73" s="88"/>
      <c r="X73" s="277"/>
    </row>
    <row r="74" spans="1:25" s="86" customFormat="1" ht="21" customHeight="1" x14ac:dyDescent="0.15">
      <c r="A74" s="50">
        <f t="shared" si="3"/>
        <v>71</v>
      </c>
      <c r="B74" s="363">
        <v>6</v>
      </c>
      <c r="C74" s="50">
        <v>9</v>
      </c>
      <c r="D74" s="50">
        <v>19</v>
      </c>
      <c r="E74" s="50"/>
      <c r="F74" s="278" t="s">
        <v>916</v>
      </c>
      <c r="G74" s="92">
        <v>3</v>
      </c>
      <c r="H74" s="37" t="str">
        <f>VLOOKUP(G74,祭礼会計コード!$C$2:$D$43,2,FALSE)</f>
        <v>神社等分担費</v>
      </c>
      <c r="I74" s="273" t="s">
        <v>204</v>
      </c>
      <c r="J74" s="276">
        <v>5000</v>
      </c>
      <c r="K74" s="276"/>
      <c r="L74" s="50" t="s">
        <v>872</v>
      </c>
      <c r="M74" s="284">
        <f ca="1">OFFSET(M74,-1,0)+K74-J74</f>
        <v>119204</v>
      </c>
      <c r="N74" s="284">
        <f t="shared" ca="1" si="65"/>
        <v>1907</v>
      </c>
      <c r="O74" s="284">
        <f t="shared" ca="1" si="65"/>
        <v>155347</v>
      </c>
      <c r="P74" s="284">
        <f t="shared" ca="1" si="65"/>
        <v>21290</v>
      </c>
      <c r="Q74" s="284">
        <f t="shared" ca="1" si="65"/>
        <v>-59340</v>
      </c>
      <c r="R74" s="284">
        <f t="shared" ca="1" si="65"/>
        <v>0</v>
      </c>
      <c r="S74" s="284">
        <f t="shared" ca="1" si="65"/>
        <v>0</v>
      </c>
      <c r="T74" s="284">
        <f t="shared" ca="1" si="65"/>
        <v>0</v>
      </c>
      <c r="U74" s="92" t="b">
        <f t="shared" ref="U74" ca="1" si="67">M74=SUM(N74:T74)</f>
        <v>1</v>
      </c>
      <c r="V74" s="88"/>
      <c r="X74" s="277"/>
    </row>
    <row r="75" spans="1:25" s="86" customFormat="1" ht="21" customHeight="1" x14ac:dyDescent="0.15">
      <c r="A75" s="50">
        <f t="shared" si="3"/>
        <v>72</v>
      </c>
      <c r="B75" s="363">
        <v>6</v>
      </c>
      <c r="C75" s="50">
        <v>9</v>
      </c>
      <c r="D75" s="50">
        <v>20</v>
      </c>
      <c r="E75" s="50"/>
      <c r="F75" s="278" t="s">
        <v>917</v>
      </c>
      <c r="G75" s="92">
        <v>11</v>
      </c>
      <c r="H75" s="37" t="str">
        <f>VLOOKUP(G75,祭礼会計コード!$C$2:$D$43,2,FALSE)</f>
        <v>雑費</v>
      </c>
      <c r="I75" s="106" t="s">
        <v>137</v>
      </c>
      <c r="J75" s="276">
        <v>730</v>
      </c>
      <c r="K75" s="276"/>
      <c r="L75" s="50" t="s">
        <v>872</v>
      </c>
      <c r="M75" s="284">
        <f ca="1">OFFSET(M75,-1,0)+K75-J75</f>
        <v>118474</v>
      </c>
      <c r="N75" s="284">
        <f t="shared" ca="1" si="65"/>
        <v>1907</v>
      </c>
      <c r="O75" s="284">
        <f t="shared" ca="1" si="65"/>
        <v>155347</v>
      </c>
      <c r="P75" s="284">
        <f t="shared" ca="1" si="65"/>
        <v>21290</v>
      </c>
      <c r="Q75" s="284">
        <f t="shared" ca="1" si="65"/>
        <v>-60070</v>
      </c>
      <c r="R75" s="284">
        <f t="shared" ca="1" si="65"/>
        <v>0</v>
      </c>
      <c r="S75" s="284">
        <f t="shared" ca="1" si="65"/>
        <v>0</v>
      </c>
      <c r="T75" s="284">
        <f t="shared" ca="1" si="65"/>
        <v>0</v>
      </c>
      <c r="U75" s="92" t="b">
        <f t="shared" ref="U75:U76" ca="1" si="68">M75=SUM(N75:T75)</f>
        <v>1</v>
      </c>
      <c r="V75" s="88"/>
      <c r="X75" s="277"/>
    </row>
    <row r="76" spans="1:25" s="86" customFormat="1" ht="21" customHeight="1" x14ac:dyDescent="0.15">
      <c r="A76" s="50">
        <f t="shared" si="3"/>
        <v>73</v>
      </c>
      <c r="B76" s="363">
        <v>6</v>
      </c>
      <c r="C76" s="50">
        <v>9</v>
      </c>
      <c r="D76" s="50">
        <v>22</v>
      </c>
      <c r="E76" s="391" t="s">
        <v>740</v>
      </c>
      <c r="F76" s="105" t="s">
        <v>594</v>
      </c>
      <c r="G76" s="92">
        <v>5</v>
      </c>
      <c r="H76" s="37" t="str">
        <f>VLOOKUP(G76,祭礼会計コード!$C$2:$D$43,2,FALSE)</f>
        <v>渉外費</v>
      </c>
      <c r="I76" s="106" t="s">
        <v>925</v>
      </c>
      <c r="J76" s="276">
        <v>5000</v>
      </c>
      <c r="K76" s="276"/>
      <c r="L76" s="92" t="s">
        <v>183</v>
      </c>
      <c r="M76" s="284">
        <f ca="1">OFFSET(M76,-1,0)+K76-J76</f>
        <v>113474</v>
      </c>
      <c r="N76" s="284">
        <f t="shared" ca="1" si="65"/>
        <v>1907</v>
      </c>
      <c r="O76" s="284">
        <f t="shared" ca="1" si="65"/>
        <v>155347</v>
      </c>
      <c r="P76" s="284">
        <f t="shared" ca="1" si="65"/>
        <v>21290</v>
      </c>
      <c r="Q76" s="284">
        <f t="shared" ca="1" si="65"/>
        <v>-60070</v>
      </c>
      <c r="R76" s="284">
        <f t="shared" ca="1" si="65"/>
        <v>-5000</v>
      </c>
      <c r="S76" s="284">
        <f t="shared" ca="1" si="65"/>
        <v>0</v>
      </c>
      <c r="T76" s="284">
        <f t="shared" ca="1" si="65"/>
        <v>0</v>
      </c>
      <c r="U76" s="92" t="b">
        <f t="shared" ca="1" si="68"/>
        <v>1</v>
      </c>
      <c r="V76" s="88"/>
      <c r="X76" s="277"/>
    </row>
    <row r="77" spans="1:25" s="389" customFormat="1" ht="21" customHeight="1" x14ac:dyDescent="0.15">
      <c r="A77" s="386">
        <f t="shared" si="3"/>
        <v>74</v>
      </c>
      <c r="B77" s="386">
        <v>6</v>
      </c>
      <c r="C77" s="386">
        <v>10</v>
      </c>
      <c r="D77" s="386">
        <v>13</v>
      </c>
      <c r="E77" s="386"/>
      <c r="F77" s="105" t="s">
        <v>923</v>
      </c>
      <c r="G77" s="102">
        <v>11</v>
      </c>
      <c r="H77" s="387"/>
      <c r="I77" s="106"/>
      <c r="J77" s="101">
        <v>16000</v>
      </c>
      <c r="K77" s="276"/>
      <c r="L77" s="92" t="s">
        <v>183</v>
      </c>
      <c r="M77" s="284">
        <f t="shared" ref="M77" ca="1" si="69">OFFSET(M77,-1,0)+K77-J77</f>
        <v>97474</v>
      </c>
      <c r="N77" s="284">
        <f t="shared" ca="1" si="65"/>
        <v>1907</v>
      </c>
      <c r="O77" s="284">
        <f t="shared" ca="1" si="65"/>
        <v>155347</v>
      </c>
      <c r="P77" s="284">
        <f t="shared" ca="1" si="65"/>
        <v>21290</v>
      </c>
      <c r="Q77" s="284">
        <f t="shared" ca="1" si="65"/>
        <v>-60070</v>
      </c>
      <c r="R77" s="284">
        <f t="shared" ca="1" si="65"/>
        <v>-21000</v>
      </c>
      <c r="S77" s="284">
        <f t="shared" ca="1" si="65"/>
        <v>0</v>
      </c>
      <c r="T77" s="284">
        <f t="shared" ref="T77:T84" ca="1" si="70">IF($L77=T$2,OFFSET(T77,-1,0)+$K77-$J77,OFFSET(T77,-1,0))</f>
        <v>0</v>
      </c>
      <c r="U77" s="92" t="b">
        <f t="shared" ref="U77" ca="1" si="71">M77=SUM(N77:T77)</f>
        <v>1</v>
      </c>
      <c r="V77" s="388" t="s">
        <v>924</v>
      </c>
      <c r="X77" s="390"/>
    </row>
    <row r="78" spans="1:25" s="86" customFormat="1" ht="21" customHeight="1" x14ac:dyDescent="0.15">
      <c r="A78" s="328">
        <f t="shared" si="3"/>
        <v>75</v>
      </c>
      <c r="B78" s="328">
        <v>6</v>
      </c>
      <c r="C78" s="328">
        <v>10</v>
      </c>
      <c r="D78" s="328">
        <v>13</v>
      </c>
      <c r="E78" s="328"/>
      <c r="F78" s="159" t="s">
        <v>857</v>
      </c>
      <c r="G78" s="161" t="s">
        <v>936</v>
      </c>
      <c r="H78" s="99"/>
      <c r="I78" s="160"/>
      <c r="J78" s="255">
        <v>16000</v>
      </c>
      <c r="K78" s="356"/>
      <c r="L78" s="328" t="s">
        <v>867</v>
      </c>
      <c r="M78" s="329">
        <f t="shared" ref="M78:M79" ca="1" si="72">OFFSET(M78,-1,0)+K78-J78</f>
        <v>81474</v>
      </c>
      <c r="N78" s="329">
        <f t="shared" ca="1" si="65"/>
        <v>1907</v>
      </c>
      <c r="O78" s="329">
        <f t="shared" ca="1" si="65"/>
        <v>139347</v>
      </c>
      <c r="P78" s="329">
        <f t="shared" ca="1" si="65"/>
        <v>21290</v>
      </c>
      <c r="Q78" s="329">
        <f t="shared" ca="1" si="65"/>
        <v>-60070</v>
      </c>
      <c r="R78" s="329">
        <f t="shared" ca="1" si="65"/>
        <v>-21000</v>
      </c>
      <c r="S78" s="329">
        <f t="shared" ca="1" si="65"/>
        <v>0</v>
      </c>
      <c r="T78" s="329">
        <f t="shared" ca="1" si="70"/>
        <v>0</v>
      </c>
      <c r="U78" s="92" t="b">
        <f t="shared" ref="U78:U79" ca="1" si="73">M78=SUM(N78:T78)</f>
        <v>1</v>
      </c>
      <c r="V78" s="218"/>
      <c r="X78" s="277"/>
    </row>
    <row r="79" spans="1:25" s="86" customFormat="1" ht="21" customHeight="1" x14ac:dyDescent="0.15">
      <c r="A79" s="328">
        <f t="shared" si="3"/>
        <v>76</v>
      </c>
      <c r="B79" s="328">
        <v>6</v>
      </c>
      <c r="C79" s="328">
        <v>10</v>
      </c>
      <c r="D79" s="328">
        <v>13</v>
      </c>
      <c r="E79" s="328"/>
      <c r="F79" s="159" t="s">
        <v>857</v>
      </c>
      <c r="G79" s="161" t="s">
        <v>865</v>
      </c>
      <c r="H79" s="99"/>
      <c r="I79" s="160"/>
      <c r="J79" s="255"/>
      <c r="K79" s="255">
        <v>16000</v>
      </c>
      <c r="L79" s="280" t="s">
        <v>183</v>
      </c>
      <c r="M79" s="329">
        <f t="shared" ca="1" si="72"/>
        <v>97474</v>
      </c>
      <c r="N79" s="329">
        <f t="shared" ca="1" si="65"/>
        <v>1907</v>
      </c>
      <c r="O79" s="329">
        <f t="shared" ca="1" si="65"/>
        <v>139347</v>
      </c>
      <c r="P79" s="329">
        <f t="shared" ca="1" si="65"/>
        <v>21290</v>
      </c>
      <c r="Q79" s="329">
        <f t="shared" ca="1" si="65"/>
        <v>-60070</v>
      </c>
      <c r="R79" s="329">
        <f t="shared" ca="1" si="65"/>
        <v>-5000</v>
      </c>
      <c r="S79" s="329">
        <f t="shared" ca="1" si="65"/>
        <v>0</v>
      </c>
      <c r="T79" s="329">
        <f t="shared" ca="1" si="70"/>
        <v>0</v>
      </c>
      <c r="U79" s="92" t="b">
        <f t="shared" ca="1" si="73"/>
        <v>1</v>
      </c>
      <c r="V79" s="218"/>
      <c r="X79" s="277"/>
    </row>
    <row r="80" spans="1:25" s="268" customFormat="1" ht="21" customHeight="1" x14ac:dyDescent="0.15">
      <c r="A80" s="370">
        <f t="shared" si="3"/>
        <v>77</v>
      </c>
      <c r="B80" s="370">
        <v>7</v>
      </c>
      <c r="C80" s="370">
        <v>2</v>
      </c>
      <c r="D80" s="370">
        <v>2</v>
      </c>
      <c r="E80" s="370"/>
      <c r="F80" s="371" t="s">
        <v>645</v>
      </c>
      <c r="G80" s="161" t="s">
        <v>936</v>
      </c>
      <c r="H80" s="271"/>
      <c r="I80" s="272"/>
      <c r="J80" s="372"/>
      <c r="K80" s="372"/>
      <c r="L80" s="370" t="s">
        <v>867</v>
      </c>
      <c r="M80" s="329">
        <f ca="1">OFFSET(M80,-1,0)+K80-J80</f>
        <v>97474</v>
      </c>
      <c r="N80" s="329">
        <f t="shared" ref="N80:T81" ca="1" si="74">IF($L80=N$2,OFFSET(N80,-1,0)+$K80-$J80,OFFSET(N80,-1,0))</f>
        <v>1907</v>
      </c>
      <c r="O80" s="329">
        <f t="shared" ca="1" si="74"/>
        <v>139347</v>
      </c>
      <c r="P80" s="329">
        <f t="shared" ca="1" si="74"/>
        <v>21290</v>
      </c>
      <c r="Q80" s="329">
        <f t="shared" ca="1" si="74"/>
        <v>-60070</v>
      </c>
      <c r="R80" s="329">
        <f t="shared" ca="1" si="74"/>
        <v>-5000</v>
      </c>
      <c r="S80" s="329">
        <f t="shared" ca="1" si="74"/>
        <v>0</v>
      </c>
      <c r="T80" s="96">
        <f t="shared" ca="1" si="74"/>
        <v>0</v>
      </c>
      <c r="U80" s="265" t="b">
        <f ca="1">M80=SUM(N80:T80)</f>
        <v>1</v>
      </c>
      <c r="V80" s="271"/>
      <c r="X80" s="269"/>
    </row>
    <row r="81" spans="1:24" s="268" customFormat="1" ht="21" customHeight="1" x14ac:dyDescent="0.15">
      <c r="A81" s="370">
        <f t="shared" si="3"/>
        <v>78</v>
      </c>
      <c r="B81" s="370">
        <v>7</v>
      </c>
      <c r="C81" s="370">
        <v>2</v>
      </c>
      <c r="D81" s="370">
        <v>2</v>
      </c>
      <c r="E81" s="370"/>
      <c r="F81" s="371" t="s">
        <v>645</v>
      </c>
      <c r="G81" s="161" t="s">
        <v>865</v>
      </c>
      <c r="H81" s="271"/>
      <c r="I81" s="272"/>
      <c r="J81" s="372"/>
      <c r="K81" s="372"/>
      <c r="L81" s="270" t="s">
        <v>200</v>
      </c>
      <c r="M81" s="329">
        <f ca="1">OFFSET(M81,-1,0)+K81-J81</f>
        <v>97474</v>
      </c>
      <c r="N81" s="329">
        <f t="shared" ca="1" si="74"/>
        <v>1907</v>
      </c>
      <c r="O81" s="329">
        <f t="shared" ca="1" si="74"/>
        <v>139347</v>
      </c>
      <c r="P81" s="329">
        <f t="shared" ca="1" si="74"/>
        <v>21290</v>
      </c>
      <c r="Q81" s="329">
        <f t="shared" ca="1" si="74"/>
        <v>-60070</v>
      </c>
      <c r="R81" s="329">
        <f t="shared" ca="1" si="74"/>
        <v>-5000</v>
      </c>
      <c r="S81" s="329">
        <f t="shared" ca="1" si="74"/>
        <v>0</v>
      </c>
      <c r="T81" s="96">
        <f t="shared" ca="1" si="74"/>
        <v>0</v>
      </c>
      <c r="U81" s="265" t="b">
        <f ca="1">M81=SUM(N81:T81)</f>
        <v>1</v>
      </c>
      <c r="V81" s="271"/>
      <c r="X81" s="269"/>
    </row>
    <row r="82" spans="1:24" s="268" customFormat="1" ht="21" customHeight="1" x14ac:dyDescent="0.15">
      <c r="A82" s="264">
        <f>ROW()-3</f>
        <v>79</v>
      </c>
      <c r="B82" s="50">
        <v>7</v>
      </c>
      <c r="C82" s="264">
        <v>3</v>
      </c>
      <c r="D82" s="264">
        <v>11</v>
      </c>
      <c r="E82" s="264"/>
      <c r="F82" s="266" t="s">
        <v>639</v>
      </c>
      <c r="G82" s="264" t="s">
        <v>227</v>
      </c>
      <c r="H82" s="266" t="s">
        <v>396</v>
      </c>
      <c r="I82" s="266" t="s">
        <v>16</v>
      </c>
      <c r="J82" s="267"/>
      <c r="K82" s="267"/>
      <c r="L82" s="265" t="s">
        <v>188</v>
      </c>
      <c r="M82" s="284">
        <f ca="1">OFFSET(M82,-1,0)+K82-J82</f>
        <v>97474</v>
      </c>
      <c r="N82" s="284">
        <f t="shared" ref="N82:T82" ca="1" si="75">IF($L82=N$2,OFFSET(N82,-1,0)+$K82-$J82,OFFSET(N82,-1,0))</f>
        <v>1907</v>
      </c>
      <c r="O82" s="284">
        <f t="shared" ca="1" si="75"/>
        <v>139347</v>
      </c>
      <c r="P82" s="284">
        <f t="shared" ca="1" si="75"/>
        <v>21290</v>
      </c>
      <c r="Q82" s="284">
        <f t="shared" ca="1" si="75"/>
        <v>-60070</v>
      </c>
      <c r="R82" s="284">
        <f t="shared" ca="1" si="75"/>
        <v>-5000</v>
      </c>
      <c r="S82" s="284">
        <f t="shared" ca="1" si="75"/>
        <v>0</v>
      </c>
      <c r="T82" s="103">
        <f t="shared" ca="1" si="75"/>
        <v>0</v>
      </c>
      <c r="U82" s="265" t="b">
        <f ca="1">M82=SUM(N82:T82)</f>
        <v>1</v>
      </c>
      <c r="V82" s="266"/>
    </row>
    <row r="83" spans="1:24" s="100" customFormat="1" ht="21" customHeight="1" x14ac:dyDescent="0.15">
      <c r="A83" s="41">
        <f t="shared" si="3"/>
        <v>80</v>
      </c>
      <c r="B83" s="41"/>
      <c r="C83" s="41"/>
      <c r="D83" s="41"/>
      <c r="E83" s="41"/>
      <c r="F83" s="105"/>
      <c r="G83" s="102"/>
      <c r="H83" s="37"/>
      <c r="I83" s="106"/>
      <c r="J83" s="103"/>
      <c r="K83" s="101"/>
      <c r="L83" s="102"/>
      <c r="M83" s="103">
        <f t="shared" ref="M83" ca="1" si="76">OFFSET(M83,-1,0)+K83-J83</f>
        <v>97474</v>
      </c>
      <c r="N83" s="103">
        <f t="shared" ca="1" si="65"/>
        <v>1907</v>
      </c>
      <c r="O83" s="103">
        <f t="shared" ca="1" si="65"/>
        <v>139347</v>
      </c>
      <c r="P83" s="103">
        <f t="shared" ca="1" si="65"/>
        <v>21290</v>
      </c>
      <c r="Q83" s="103">
        <f t="shared" ca="1" si="65"/>
        <v>-60070</v>
      </c>
      <c r="R83" s="103">
        <f t="shared" ca="1" si="65"/>
        <v>-5000</v>
      </c>
      <c r="S83" s="103">
        <f t="shared" ca="1" si="65"/>
        <v>0</v>
      </c>
      <c r="T83" s="103">
        <f t="shared" ca="1" si="70"/>
        <v>0</v>
      </c>
      <c r="U83" s="102" t="b">
        <f t="shared" ref="U83" ca="1" si="77">M83=SUM(N83:T83)</f>
        <v>1</v>
      </c>
      <c r="V83" s="88"/>
      <c r="X83" s="104"/>
    </row>
    <row r="84" spans="1:24" s="113" customFormat="1" ht="21" customHeight="1" x14ac:dyDescent="0.15">
      <c r="A84" s="108"/>
      <c r="B84" s="109"/>
      <c r="C84" s="109"/>
      <c r="D84" s="109"/>
      <c r="E84" s="109"/>
      <c r="F84" s="109"/>
      <c r="G84" s="110" t="s">
        <v>207</v>
      </c>
      <c r="H84" s="110"/>
      <c r="I84" s="111"/>
      <c r="J84" s="112">
        <f>SUM(J4:J83)</f>
        <v>2538535</v>
      </c>
      <c r="K84" s="112">
        <f>SUM(K4:K83)</f>
        <v>2636009</v>
      </c>
      <c r="L84" s="112">
        <f>K84-J84</f>
        <v>97474</v>
      </c>
      <c r="M84" s="112">
        <f t="shared" ref="M84:S84" ca="1" si="78">M83</f>
        <v>97474</v>
      </c>
      <c r="N84" s="112">
        <f t="shared" ca="1" si="78"/>
        <v>1907</v>
      </c>
      <c r="O84" s="112">
        <f t="shared" ca="1" si="78"/>
        <v>139347</v>
      </c>
      <c r="P84" s="112">
        <f t="shared" ref="P84" ca="1" si="79">P83</f>
        <v>21290</v>
      </c>
      <c r="Q84" s="112">
        <f t="shared" ca="1" si="78"/>
        <v>-60070</v>
      </c>
      <c r="R84" s="112">
        <f t="shared" ca="1" si="78"/>
        <v>-5000</v>
      </c>
      <c r="S84" s="112">
        <f t="shared" ca="1" si="78"/>
        <v>0</v>
      </c>
      <c r="T84" s="103">
        <f t="shared" ca="1" si="70"/>
        <v>0</v>
      </c>
      <c r="U84" s="102" t="b">
        <f t="shared" ref="U84" ca="1" si="80">M84=SUM(N84:T84)</f>
        <v>1</v>
      </c>
      <c r="V84" s="88"/>
    </row>
    <row r="85" spans="1:24" s="113" customFormat="1" ht="21" customHeight="1" x14ac:dyDescent="0.15">
      <c r="A85" s="114"/>
      <c r="B85" s="114"/>
      <c r="C85" s="114" t="s">
        <v>208</v>
      </c>
      <c r="D85" s="114"/>
      <c r="E85" s="114"/>
      <c r="F85" s="85"/>
      <c r="G85" s="114"/>
      <c r="H85" s="85"/>
      <c r="I85" s="32" t="s">
        <v>604</v>
      </c>
      <c r="J85" s="112">
        <f>J84</f>
        <v>2538535</v>
      </c>
      <c r="K85" s="112">
        <f>K84-SUM(K4:K5)</f>
        <v>1795424</v>
      </c>
      <c r="L85" s="112">
        <f>K85-J85</f>
        <v>-743111</v>
      </c>
      <c r="M85" s="115" t="s">
        <v>209</v>
      </c>
      <c r="N85" s="116" t="s">
        <v>209</v>
      </c>
      <c r="O85" s="117" t="s">
        <v>209</v>
      </c>
      <c r="P85" s="117" t="s">
        <v>209</v>
      </c>
      <c r="Q85" s="117" t="s">
        <v>209</v>
      </c>
      <c r="R85" s="117" t="s">
        <v>209</v>
      </c>
      <c r="S85" s="117" t="s">
        <v>209</v>
      </c>
      <c r="T85" s="117" t="s">
        <v>209</v>
      </c>
      <c r="U85" s="407"/>
      <c r="V85" s="62"/>
    </row>
    <row r="86" spans="1:24" s="113" customFormat="1" ht="21" customHeight="1" x14ac:dyDescent="0.15">
      <c r="A86" s="114"/>
      <c r="B86" s="114"/>
      <c r="C86" s="114"/>
      <c r="D86" s="118">
        <f>COUNTIF(G4:G83,"－")+COUNTIF(G4:G83,"入")+COUNTIF(G4:G83,"出")</f>
        <v>18</v>
      </c>
      <c r="E86" s="118"/>
      <c r="F86" s="85" t="s">
        <v>343</v>
      </c>
      <c r="G86" s="119" t="s">
        <v>211</v>
      </c>
      <c r="H86" s="85"/>
      <c r="I86" s="120" t="s">
        <v>937</v>
      </c>
      <c r="J86" s="121"/>
      <c r="K86" s="121"/>
      <c r="L86" s="122"/>
      <c r="M86" s="123">
        <f ca="1">M84</f>
        <v>97474</v>
      </c>
      <c r="N86" s="116" t="s">
        <v>209</v>
      </c>
      <c r="O86" s="117" t="s">
        <v>209</v>
      </c>
      <c r="P86" s="117" t="s">
        <v>209</v>
      </c>
      <c r="Q86" s="117" t="s">
        <v>209</v>
      </c>
      <c r="R86" s="117" t="s">
        <v>209</v>
      </c>
      <c r="S86" s="117" t="s">
        <v>209</v>
      </c>
      <c r="T86" s="117" t="s">
        <v>209</v>
      </c>
      <c r="U86" s="407"/>
      <c r="V86" s="62"/>
    </row>
    <row r="87" spans="1:24" s="113" customFormat="1" ht="21" customHeight="1" x14ac:dyDescent="0.15">
      <c r="A87" s="114"/>
      <c r="B87" s="114"/>
      <c r="C87" s="114"/>
      <c r="D87" s="124">
        <f>COUNT(K4:K83)-COUNTIFS(G4:G83,"入")</f>
        <v>15</v>
      </c>
      <c r="E87" s="124"/>
      <c r="F87" s="85" t="s">
        <v>212</v>
      </c>
      <c r="G87" s="125" t="s">
        <v>213</v>
      </c>
      <c r="H87" s="85"/>
      <c r="I87" s="126" t="s">
        <v>214</v>
      </c>
      <c r="J87" s="127" t="s">
        <v>197</v>
      </c>
      <c r="K87" s="127"/>
      <c r="L87" s="128"/>
      <c r="M87" s="129">
        <f ca="1">N84</f>
        <v>1907</v>
      </c>
      <c r="N87" s="130" t="s">
        <v>215</v>
      </c>
      <c r="O87" s="117" t="s">
        <v>209</v>
      </c>
      <c r="P87" s="117" t="s">
        <v>209</v>
      </c>
      <c r="Q87" s="117" t="s">
        <v>209</v>
      </c>
      <c r="R87" s="117" t="s">
        <v>209</v>
      </c>
      <c r="S87" s="117" t="s">
        <v>209</v>
      </c>
      <c r="T87" s="117" t="s">
        <v>209</v>
      </c>
      <c r="U87" s="407"/>
      <c r="V87" s="62"/>
    </row>
    <row r="88" spans="1:24" s="113" customFormat="1" ht="21" customHeight="1" x14ac:dyDescent="0.15">
      <c r="A88" s="114"/>
      <c r="B88" s="114"/>
      <c r="C88" s="114"/>
      <c r="D88" s="131">
        <f>COUNT(J4:J83)-COUNTIFS(G4:G83,"出")</f>
        <v>40</v>
      </c>
      <c r="E88" s="131"/>
      <c r="F88" s="85" t="s">
        <v>216</v>
      </c>
      <c r="G88" s="114"/>
      <c r="H88" s="85"/>
      <c r="I88" s="132"/>
      <c r="J88" s="133" t="s">
        <v>217</v>
      </c>
      <c r="K88" s="133"/>
      <c r="L88" s="134"/>
      <c r="M88" s="135">
        <f ca="1">SUM(O84:S84)</f>
        <v>95567</v>
      </c>
      <c r="N88" s="136" t="s">
        <v>218</v>
      </c>
      <c r="O88" s="136" t="s">
        <v>219</v>
      </c>
      <c r="P88" s="136" t="s">
        <v>219</v>
      </c>
      <c r="Q88" s="136" t="s">
        <v>219</v>
      </c>
      <c r="R88" s="136" t="s">
        <v>219</v>
      </c>
      <c r="S88" s="136" t="s">
        <v>215</v>
      </c>
      <c r="T88" s="136" t="s">
        <v>215</v>
      </c>
      <c r="U88" s="407"/>
      <c r="V88" s="62"/>
    </row>
    <row r="89" spans="1:24" s="113" customFormat="1" ht="18" customHeight="1" x14ac:dyDescent="0.15">
      <c r="A89" s="114"/>
      <c r="B89" s="114"/>
      <c r="C89" s="114"/>
      <c r="D89" s="137">
        <f>D86+D87+D88</f>
        <v>73</v>
      </c>
      <c r="E89" s="137"/>
      <c r="F89" s="85" t="s">
        <v>220</v>
      </c>
      <c r="G89" s="114"/>
      <c r="H89" s="85"/>
      <c r="J89" s="138"/>
      <c r="K89" s="138"/>
      <c r="L89" s="139"/>
      <c r="M89" s="357"/>
      <c r="N89" s="358" t="s">
        <v>221</v>
      </c>
      <c r="O89" s="359">
        <f>SUMIFS($J4:$J83,$L4:$L83,O2)</f>
        <v>298880</v>
      </c>
      <c r="P89" s="359">
        <f>SUMIFS($J4:$J83,$L4:$L83,P2)</f>
        <v>904210</v>
      </c>
      <c r="Q89" s="359">
        <f>SUMIFS($J4:$J83,$L4:$L83,Q2)</f>
        <v>60070</v>
      </c>
      <c r="R89" s="359">
        <f>SUMIFS($J4:$J83,$L4:$L83,R2)</f>
        <v>97796</v>
      </c>
      <c r="S89" s="359">
        <f>SUMIFS($J4:$J83,$L4:$L83,S2)</f>
        <v>350000</v>
      </c>
      <c r="T89" s="359">
        <f>SUMIFS($J4:$J83,$L4:$L83,T2)</f>
        <v>27579</v>
      </c>
      <c r="U89" s="407"/>
      <c r="V89" s="62"/>
    </row>
    <row r="90" spans="1:24" s="113" customFormat="1" ht="18" customHeight="1" x14ac:dyDescent="0.15">
      <c r="A90" s="114"/>
      <c r="B90" s="114"/>
      <c r="C90" s="114"/>
      <c r="D90" s="114"/>
      <c r="E90" s="114"/>
      <c r="F90" s="85"/>
      <c r="G90" s="114"/>
      <c r="H90" s="85"/>
      <c r="J90" s="138"/>
      <c r="K90" s="138"/>
      <c r="L90" s="142"/>
      <c r="M90" s="360"/>
      <c r="N90" s="360"/>
      <c r="O90" s="361" t="s">
        <v>222</v>
      </c>
      <c r="P90" s="362"/>
      <c r="Q90" s="362"/>
      <c r="R90" s="362"/>
      <c r="S90" s="362"/>
      <c r="T90" s="362"/>
      <c r="U90" s="407"/>
      <c r="V90" s="62"/>
    </row>
    <row r="91" spans="1:24" s="144" customFormat="1" x14ac:dyDescent="0.15">
      <c r="A91" s="114"/>
      <c r="B91" s="114"/>
      <c r="C91" s="114"/>
      <c r="D91" s="114"/>
      <c r="E91" s="114"/>
      <c r="F91" s="85"/>
      <c r="G91" s="114"/>
      <c r="H91" s="85"/>
      <c r="I91" s="107"/>
      <c r="O91" s="107"/>
      <c r="P91" s="107"/>
      <c r="Q91" s="107"/>
      <c r="R91" s="107"/>
      <c r="S91" s="107"/>
      <c r="T91" s="107"/>
      <c r="U91" s="389"/>
      <c r="V91" s="145"/>
    </row>
    <row r="92" spans="1:24" x14ac:dyDescent="0.15">
      <c r="F92" s="85" t="s">
        <v>223</v>
      </c>
      <c r="H92" s="139"/>
      <c r="I92" s="282" t="s">
        <v>673</v>
      </c>
    </row>
    <row r="93" spans="1:24" x14ac:dyDescent="0.15">
      <c r="D93" s="114">
        <v>1</v>
      </c>
      <c r="F93" s="147" t="s">
        <v>394</v>
      </c>
      <c r="G93" s="102" t="s">
        <v>202</v>
      </c>
      <c r="H93" s="103">
        <f>SUMIFS($K$4:$K$83,$G$4:$G$83,G93)</f>
        <v>840585</v>
      </c>
      <c r="I93" s="281">
        <f>令和５年度日付順!G97</f>
        <v>856821</v>
      </c>
    </row>
    <row r="94" spans="1:24" x14ac:dyDescent="0.15">
      <c r="D94" s="114">
        <v>2</v>
      </c>
      <c r="F94" s="147" t="s">
        <v>395</v>
      </c>
      <c r="G94" s="102" t="s">
        <v>224</v>
      </c>
      <c r="H94" s="103">
        <f>SUMIFS($K$4:$K$83,$G$4:$G$83,G94)</f>
        <v>516500</v>
      </c>
      <c r="I94" s="281">
        <f>令和５年度日付順!G98</f>
        <v>540500</v>
      </c>
    </row>
    <row r="95" spans="1:24" x14ac:dyDescent="0.15">
      <c r="D95" s="114">
        <v>3</v>
      </c>
      <c r="F95" s="147" t="s">
        <v>41</v>
      </c>
      <c r="G95" s="102" t="s">
        <v>225</v>
      </c>
      <c r="H95" s="103">
        <f>SUMIFS($K$4:$K$83,$G$4:$G$83,G95)</f>
        <v>192000</v>
      </c>
      <c r="I95" s="281">
        <f>令和５年度日付順!G99</f>
        <v>158000</v>
      </c>
    </row>
    <row r="96" spans="1:24" x14ac:dyDescent="0.15">
      <c r="D96" s="114">
        <v>4</v>
      </c>
      <c r="F96" s="147" t="s">
        <v>48</v>
      </c>
      <c r="G96" s="102" t="s">
        <v>226</v>
      </c>
      <c r="H96" s="103">
        <f>SUMIFS($K$4:$K$83,$G$4:$G$83,G96)</f>
        <v>196000</v>
      </c>
      <c r="I96" s="281">
        <f>令和５年度日付順!G100</f>
        <v>209000</v>
      </c>
    </row>
    <row r="97" spans="4:18" x14ac:dyDescent="0.15">
      <c r="D97" s="114">
        <v>5</v>
      </c>
      <c r="F97" s="147" t="s">
        <v>396</v>
      </c>
      <c r="G97" s="102" t="s">
        <v>227</v>
      </c>
      <c r="H97" s="103">
        <f>SUMIFS($K$4:$K$83,$G$4:$G$83,G97)</f>
        <v>10019</v>
      </c>
      <c r="L97" s="144"/>
      <c r="O97" s="144"/>
    </row>
    <row r="98" spans="4:18" x14ac:dyDescent="0.15">
      <c r="D98" s="114">
        <v>6</v>
      </c>
      <c r="F98" s="147" t="s">
        <v>397</v>
      </c>
      <c r="G98" s="102" t="s">
        <v>196</v>
      </c>
      <c r="H98" s="103">
        <f>SUMIFS($K$4:$K$83,$G$4:$G$83,G98)</f>
        <v>0</v>
      </c>
      <c r="L98" s="144"/>
      <c r="O98" s="144"/>
    </row>
    <row r="99" spans="4:18" x14ac:dyDescent="0.15">
      <c r="G99" s="139" t="s">
        <v>228</v>
      </c>
      <c r="H99" s="148">
        <f>SUM(H93:H98)</f>
        <v>1755104</v>
      </c>
      <c r="L99" s="144"/>
      <c r="O99" s="144"/>
    </row>
    <row r="100" spans="4:18" x14ac:dyDescent="0.15">
      <c r="G100" s="139" t="s">
        <v>230</v>
      </c>
      <c r="H100" s="148">
        <f>H99-H93</f>
        <v>914519</v>
      </c>
    </row>
    <row r="101" spans="4:18" ht="11.25" customHeight="1" x14ac:dyDescent="0.15"/>
    <row r="102" spans="4:18" x14ac:dyDescent="0.15">
      <c r="F102" s="85" t="s">
        <v>231</v>
      </c>
      <c r="G102" s="113"/>
      <c r="H102" s="139"/>
      <c r="I102" s="282" t="s">
        <v>673</v>
      </c>
    </row>
    <row r="103" spans="4:18" x14ac:dyDescent="0.15">
      <c r="D103" s="114">
        <v>1</v>
      </c>
      <c r="F103" s="149" t="s">
        <v>410</v>
      </c>
      <c r="G103" s="150">
        <v>1</v>
      </c>
      <c r="H103" s="103">
        <f>SUM(H104:H105)</f>
        <v>286664</v>
      </c>
      <c r="I103" s="281">
        <f>令和５年度日付順!G107</f>
        <v>442016</v>
      </c>
    </row>
    <row r="104" spans="4:18" x14ac:dyDescent="0.15">
      <c r="F104" s="217" t="s">
        <v>412</v>
      </c>
      <c r="G104" s="161" t="s">
        <v>680</v>
      </c>
      <c r="H104" s="103">
        <f>SUMIFS($J$4:$J$83,$G$4:$G$83,G104)</f>
        <v>286664</v>
      </c>
      <c r="I104" s="283">
        <f>'R5年度祭礼実績（集計中）'!L53</f>
        <v>332527</v>
      </c>
    </row>
    <row r="105" spans="4:18" x14ac:dyDescent="0.15">
      <c r="F105" s="217" t="s">
        <v>413</v>
      </c>
      <c r="G105" s="161" t="s">
        <v>681</v>
      </c>
      <c r="H105" s="103">
        <f>SUMIFS($J$4:$J$83,$G$4:$G$83,G105)</f>
        <v>0</v>
      </c>
      <c r="I105" s="283">
        <f>祭礼会計出納簿!M98</f>
        <v>109489</v>
      </c>
    </row>
    <row r="106" spans="4:18" x14ac:dyDescent="0.15">
      <c r="D106" s="114">
        <v>2</v>
      </c>
      <c r="F106" s="151" t="s">
        <v>414</v>
      </c>
      <c r="G106" s="102">
        <v>2</v>
      </c>
      <c r="H106" s="103">
        <f>SUMIFS($J$4:$J$83,$G$4:$G$83,G106)</f>
        <v>9774</v>
      </c>
      <c r="I106" s="281">
        <f>令和５年度日付順!G110</f>
        <v>8988</v>
      </c>
    </row>
    <row r="107" spans="4:18" x14ac:dyDescent="0.15">
      <c r="D107" s="114">
        <v>3</v>
      </c>
      <c r="F107" s="88" t="s">
        <v>415</v>
      </c>
      <c r="G107" s="102">
        <v>3</v>
      </c>
      <c r="H107" s="103">
        <f>SUMIFS($J$4:$J$83,$G$4:$G$83,G107)</f>
        <v>15000</v>
      </c>
      <c r="I107" s="281">
        <f>令和５年度日付順!G111</f>
        <v>25000</v>
      </c>
      <c r="L107" s="144"/>
      <c r="O107" s="144"/>
      <c r="P107" s="144"/>
      <c r="Q107" s="144"/>
      <c r="R107" s="144"/>
    </row>
    <row r="108" spans="4:18" x14ac:dyDescent="0.15">
      <c r="D108" s="114">
        <v>4</v>
      </c>
      <c r="F108" s="153" t="s">
        <v>132</v>
      </c>
      <c r="G108" s="102">
        <v>4</v>
      </c>
      <c r="H108" s="103">
        <f>SUMIFS($J$4:$J$83,$G$4:$G$83,G108)</f>
        <v>5830</v>
      </c>
      <c r="I108" s="281">
        <f>令和５年度日付順!G112</f>
        <v>5500</v>
      </c>
      <c r="L108" s="144"/>
      <c r="O108" s="144"/>
      <c r="P108" s="144"/>
      <c r="Q108" s="144"/>
      <c r="R108" s="144"/>
    </row>
    <row r="109" spans="4:18" x14ac:dyDescent="0.15">
      <c r="D109" s="114">
        <v>5</v>
      </c>
      <c r="F109" s="153" t="s">
        <v>550</v>
      </c>
      <c r="G109" s="102">
        <v>5</v>
      </c>
      <c r="H109" s="103">
        <f>SUMIFS($J$4:$J$83,$G$4:$G$83,G109)</f>
        <v>24893</v>
      </c>
      <c r="I109" s="281">
        <f>令和５年度日付順!G113</f>
        <v>22302</v>
      </c>
      <c r="L109" s="144"/>
      <c r="O109" s="144"/>
      <c r="P109" s="144"/>
      <c r="Q109" s="144"/>
      <c r="R109" s="144"/>
    </row>
    <row r="110" spans="4:18" x14ac:dyDescent="0.15">
      <c r="D110" s="114">
        <v>6</v>
      </c>
      <c r="F110" s="153" t="s">
        <v>551</v>
      </c>
      <c r="G110" s="102">
        <v>6</v>
      </c>
      <c r="H110" s="103">
        <f>SUMIFS($J$4:$J$83,$G$4:$G$83,G110)</f>
        <v>80028</v>
      </c>
      <c r="I110" s="281">
        <f>令和５年度日付順!G114</f>
        <v>111735</v>
      </c>
      <c r="L110" s="144"/>
      <c r="O110" s="144"/>
      <c r="P110" s="144"/>
      <c r="Q110" s="144"/>
      <c r="R110" s="144"/>
    </row>
    <row r="111" spans="4:18" x14ac:dyDescent="0.15">
      <c r="D111" s="114">
        <v>7</v>
      </c>
      <c r="F111" s="153" t="s">
        <v>552</v>
      </c>
      <c r="G111" s="102">
        <v>7</v>
      </c>
      <c r="H111" s="103">
        <f>SUMIFS($J$4:$J$83,$G$4:$G$83,G111)</f>
        <v>53659</v>
      </c>
      <c r="I111" s="281">
        <f>令和５年度日付順!G115</f>
        <v>57449</v>
      </c>
      <c r="L111" s="144"/>
      <c r="O111" s="144"/>
      <c r="P111" s="144"/>
      <c r="Q111" s="144"/>
      <c r="R111" s="144"/>
    </row>
    <row r="112" spans="4:18" x14ac:dyDescent="0.15">
      <c r="D112" s="114">
        <v>8</v>
      </c>
      <c r="F112" s="153" t="s">
        <v>553</v>
      </c>
      <c r="G112" s="102">
        <v>8</v>
      </c>
      <c r="H112" s="103">
        <f>SUMIFS($J$4:$J$83,$G$4:$G$83,G112)</f>
        <v>0</v>
      </c>
      <c r="I112" s="281">
        <f>令和５年度日付順!G116</f>
        <v>0</v>
      </c>
      <c r="L112" s="144"/>
      <c r="O112" s="144"/>
      <c r="P112" s="144"/>
      <c r="Q112" s="144"/>
      <c r="R112" s="144"/>
    </row>
    <row r="113" spans="4:18" x14ac:dyDescent="0.15">
      <c r="D113" s="114">
        <v>9</v>
      </c>
      <c r="F113" s="229" t="s">
        <v>554</v>
      </c>
      <c r="G113" s="102">
        <v>9</v>
      </c>
      <c r="H113" s="103">
        <f>SUMIFS($J$4:$J$83,$G$4:$G$83,G113)</f>
        <v>0</v>
      </c>
      <c r="I113" s="281">
        <f>令和５年度日付順!G117</f>
        <v>0</v>
      </c>
      <c r="L113" s="144"/>
      <c r="O113" s="144"/>
      <c r="P113" s="144"/>
      <c r="Q113" s="144"/>
      <c r="R113" s="144"/>
    </row>
    <row r="114" spans="4:18" x14ac:dyDescent="0.15">
      <c r="D114" s="114">
        <v>10</v>
      </c>
      <c r="F114" s="229" t="s">
        <v>555</v>
      </c>
      <c r="G114" s="102">
        <v>10</v>
      </c>
      <c r="H114" s="103">
        <f>SUMIFS($J$4:$J$83,$G$4:$G$83,G114)</f>
        <v>1742</v>
      </c>
      <c r="I114" s="281">
        <f>令和５年度日付順!G118</f>
        <v>47523</v>
      </c>
      <c r="L114" s="144"/>
      <c r="O114" s="144"/>
      <c r="P114" s="144"/>
      <c r="Q114" s="144"/>
      <c r="R114" s="144"/>
    </row>
    <row r="115" spans="4:18" x14ac:dyDescent="0.15">
      <c r="D115" s="114">
        <v>11</v>
      </c>
      <c r="F115" s="230" t="s">
        <v>233</v>
      </c>
      <c r="G115" s="102">
        <v>11</v>
      </c>
      <c r="H115" s="103">
        <f>SUMIFS($J$4:$J$83,$G$4:$G$83,G115)</f>
        <v>77076</v>
      </c>
      <c r="I115" s="281">
        <f>令和５年度日付順!G119</f>
        <v>38556</v>
      </c>
      <c r="L115" s="144"/>
      <c r="O115" s="144"/>
      <c r="P115" s="144"/>
      <c r="Q115" s="144"/>
      <c r="R115" s="144"/>
    </row>
    <row r="116" spans="4:18" x14ac:dyDescent="0.15">
      <c r="D116" s="114">
        <v>12</v>
      </c>
      <c r="F116" s="231" t="s">
        <v>556</v>
      </c>
      <c r="G116" s="102">
        <v>12</v>
      </c>
      <c r="H116" s="103">
        <f>SUMIFS($J$4:$J$83,$G$4:$G$83,G116)</f>
        <v>98000</v>
      </c>
      <c r="I116" s="281">
        <f>令和５年度日付順!G120</f>
        <v>146000</v>
      </c>
      <c r="L116" s="144"/>
      <c r="O116" s="144"/>
      <c r="P116" s="144"/>
      <c r="Q116" s="144"/>
      <c r="R116" s="144"/>
    </row>
    <row r="117" spans="4:18" x14ac:dyDescent="0.15">
      <c r="D117" s="114">
        <v>13</v>
      </c>
      <c r="F117" s="231" t="s">
        <v>557</v>
      </c>
      <c r="G117" s="102">
        <v>13</v>
      </c>
      <c r="H117" s="103">
        <f>SUMIFS($J$4:$J$83,$G$4:$G$83,G117)</f>
        <v>27579</v>
      </c>
      <c r="I117" s="281">
        <f>令和５年度日付順!G121</f>
        <v>31473</v>
      </c>
      <c r="L117" s="144"/>
      <c r="O117" s="144"/>
      <c r="P117" s="144"/>
      <c r="Q117" s="144"/>
      <c r="R117" s="144"/>
    </row>
    <row r="118" spans="4:18" x14ac:dyDescent="0.15">
      <c r="D118" s="114">
        <v>14</v>
      </c>
      <c r="F118" s="231" t="s">
        <v>558</v>
      </c>
      <c r="G118" s="102">
        <v>14</v>
      </c>
      <c r="H118" s="103">
        <f>SUMIFS($J$4:$J$83,$G$4:$G$83,G118)</f>
        <v>31500</v>
      </c>
      <c r="I118" s="281">
        <f>令和５年度日付順!G122</f>
        <v>0</v>
      </c>
      <c r="L118" s="144"/>
      <c r="O118" s="144"/>
      <c r="P118" s="144"/>
      <c r="Q118" s="144"/>
      <c r="R118" s="144"/>
    </row>
    <row r="119" spans="4:18" x14ac:dyDescent="0.15">
      <c r="F119"/>
      <c r="G119" s="139" t="s">
        <v>559</v>
      </c>
      <c r="H119" s="148">
        <f>SUM(H103:H118)</f>
        <v>998409</v>
      </c>
      <c r="I119" s="113"/>
      <c r="J119" s="100"/>
      <c r="K119" s="100"/>
      <c r="L119" s="100"/>
      <c r="M119" s="100"/>
    </row>
    <row r="120" spans="4:18" x14ac:dyDescent="0.15">
      <c r="F120" s="253"/>
      <c r="G120" s="140" t="s">
        <v>584</v>
      </c>
      <c r="H120" s="140">
        <f>H121-H119</f>
        <v>756695</v>
      </c>
      <c r="I120" s="254">
        <f>H120-H93</f>
        <v>-83890</v>
      </c>
      <c r="J120" s="31"/>
      <c r="K120" s="100"/>
      <c r="L120" s="100"/>
      <c r="M120" s="100"/>
    </row>
    <row r="121" spans="4:18" x14ac:dyDescent="0.15">
      <c r="F121"/>
      <c r="G121" s="139" t="s">
        <v>234</v>
      </c>
      <c r="H121" s="148">
        <f>H99</f>
        <v>1755104</v>
      </c>
      <c r="I121" s="113" t="s">
        <v>235</v>
      </c>
      <c r="J121" s="100"/>
      <c r="K121" s="100"/>
      <c r="L121" s="100"/>
      <c r="M121" s="100"/>
    </row>
    <row r="122" spans="4:18" x14ac:dyDescent="0.15">
      <c r="F122"/>
      <c r="G122" s="139"/>
      <c r="H122" s="148"/>
      <c r="I122"/>
      <c r="J122" s="146"/>
      <c r="K122" s="146"/>
    </row>
    <row r="123" spans="4:18" x14ac:dyDescent="0.15">
      <c r="F123"/>
      <c r="G123" s="139"/>
      <c r="H123" s="148"/>
      <c r="I123"/>
      <c r="J123" s="146"/>
      <c r="K123" s="146"/>
    </row>
  </sheetData>
  <autoFilter ref="L1:L123" xr:uid="{39F4B1D7-7505-45D8-8D7F-5D1745A60667}"/>
  <phoneticPr fontId="2"/>
  <conditionalFormatting sqref="M82:S83 T82:T84 J83 M4:T82">
    <cfRule type="expression" dxfId="9" priority="13">
      <formula>J4&lt;OFFSET(J4, -1, 0)</formula>
    </cfRule>
    <cfRule type="expression" dxfId="8" priority="14">
      <formula>J4&gt;OFFSET(J4, -1, 0)</formula>
    </cfRule>
  </conditionalFormatting>
  <conditionalFormatting sqref="J119:M119 K120:M120 J121:M121 U1:U88">
    <cfRule type="containsText" dxfId="7" priority="62" operator="containsText" text="FALSE">
      <formula>NOT(ISERROR(SEARCH("FALSE",J1)))</formula>
    </cfRule>
  </conditionalFormatting>
  <conditionalFormatting sqref="U90:U1048576">
    <cfRule type="containsText" dxfId="6" priority="57" operator="containsText" text="FALSE">
      <formula>NOT(ISERROR(SEARCH("FALSE",U90)))</formula>
    </cfRule>
  </conditionalFormatting>
  <pageMargins left="1.1811023622047245" right="0.19685039370078741" top="0.98425196850393704" bottom="0.59055118110236227" header="0.31496062992125984" footer="0.31496062992125984"/>
  <pageSetup paperSize="8" scale="58" fitToHeight="0" orientation="portrait" copies="7" r:id="rId1"/>
  <headerFooter>
    <oddHeader>&amp;L&amp;A&amp;C&amp;"ＭＳ Ｐゴシック,標準"&amp;14&amp;K000000令和５年度　駒寄町内会　祭礼会計　現金+預金　※日付順&amp;R&amp;"ＭＳ Ｐゴシック,標準"&amp;K000000&amp;D &amp;T</oddHeader>
    <oddFooter>&amp;L&amp;"ＭＳ Ｐゴシック,標準"&amp;K000000&amp;Z&amp;F&amp;R&amp;"ＭＳ Ｐゴシック,標準"&amp;K000000&amp;P／&amp;N</oddFooter>
    <evenFooter>&amp;C&amp;P</evenFooter>
  </headerFooter>
  <rowBreaks count="1" manualBreakCount="1">
    <brk id="90" max="21" man="1"/>
  </rowBreaks>
  <legacy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312BD8-C663-4C08-B194-C03495F389C3}">
  <dimension ref="A1:U56"/>
  <sheetViews>
    <sheetView view="pageBreakPreview" zoomScale="85" zoomScaleNormal="100" zoomScaleSheetLayoutView="85" workbookViewId="0">
      <selection activeCell="Q58" sqref="Q58"/>
    </sheetView>
  </sheetViews>
  <sheetFormatPr defaultRowHeight="13.5" x14ac:dyDescent="0.15"/>
  <cols>
    <col min="1" max="1" width="4.5" style="114" bestFit="1" customWidth="1"/>
    <col min="2" max="5" width="4.125" style="114" customWidth="1"/>
    <col min="6" max="6" width="27.125" style="85" customWidth="1"/>
    <col min="7" max="7" width="5" style="114" hidden="1" customWidth="1"/>
    <col min="8" max="8" width="11.75" style="85" bestFit="1" customWidth="1"/>
    <col min="9" max="9" width="27.25" style="107" bestFit="1" customWidth="1"/>
    <col min="10" max="10" width="9" style="144" bestFit="1" customWidth="1"/>
    <col min="11" max="11" width="9.625" style="144" customWidth="1"/>
    <col min="12" max="12" width="3.625" customWidth="1"/>
    <col min="13" max="13" width="4.5" style="114" bestFit="1" customWidth="1"/>
    <col min="14" max="16" width="4.125" style="114" customWidth="1"/>
    <col min="17" max="17" width="18.125" bestFit="1" customWidth="1"/>
    <col min="19" max="19" width="15.25" bestFit="1" customWidth="1"/>
    <col min="20" max="20" width="37" bestFit="1" customWidth="1"/>
    <col min="21" max="21" width="6.875" bestFit="1" customWidth="1"/>
  </cols>
  <sheetData>
    <row r="1" spans="1:21" x14ac:dyDescent="0.15">
      <c r="A1" s="81"/>
      <c r="B1" s="81"/>
      <c r="C1" s="81"/>
      <c r="D1" s="81"/>
      <c r="E1" s="81"/>
      <c r="F1" s="82"/>
      <c r="G1" s="81"/>
      <c r="H1" s="82"/>
      <c r="I1" s="81"/>
      <c r="J1" s="83"/>
      <c r="K1" s="344"/>
      <c r="M1" s="81"/>
      <c r="N1" s="81"/>
      <c r="O1" s="81"/>
      <c r="P1" s="81"/>
    </row>
    <row r="2" spans="1:21" x14ac:dyDescent="0.15">
      <c r="A2" s="337" t="s">
        <v>6</v>
      </c>
      <c r="B2" s="337" t="s">
        <v>0</v>
      </c>
      <c r="C2" s="337" t="s">
        <v>1</v>
      </c>
      <c r="D2" s="337" t="s">
        <v>2</v>
      </c>
      <c r="E2" s="337" t="s">
        <v>726</v>
      </c>
      <c r="F2" s="338" t="s">
        <v>3</v>
      </c>
      <c r="G2" s="337" t="s">
        <v>4</v>
      </c>
      <c r="H2" s="337" t="s">
        <v>838</v>
      </c>
      <c r="I2" s="337" t="s">
        <v>5</v>
      </c>
      <c r="J2" s="341" t="s">
        <v>7</v>
      </c>
      <c r="K2" s="347"/>
      <c r="M2" s="337" t="s">
        <v>6</v>
      </c>
      <c r="N2" s="337" t="s">
        <v>0</v>
      </c>
      <c r="O2" s="337" t="s">
        <v>1</v>
      </c>
      <c r="P2" s="337" t="s">
        <v>2</v>
      </c>
      <c r="Q2" s="338" t="s">
        <v>830</v>
      </c>
      <c r="R2" s="338" t="s">
        <v>815</v>
      </c>
      <c r="S2" s="338" t="s">
        <v>814</v>
      </c>
      <c r="T2" s="339" t="s">
        <v>816</v>
      </c>
      <c r="U2" s="340" t="s">
        <v>834</v>
      </c>
    </row>
    <row r="3" spans="1:21" hidden="1" x14ac:dyDescent="0.15">
      <c r="A3" s="93">
        <v>0</v>
      </c>
      <c r="B3" s="93"/>
      <c r="C3" s="93"/>
      <c r="D3" s="93"/>
      <c r="E3" s="93"/>
      <c r="F3" s="94"/>
      <c r="G3" s="93"/>
      <c r="H3" s="93"/>
      <c r="I3" s="93"/>
      <c r="J3" s="342"/>
      <c r="K3" s="345"/>
      <c r="M3" s="93">
        <v>0</v>
      </c>
      <c r="N3" s="93"/>
      <c r="O3" s="93"/>
      <c r="P3" s="93"/>
    </row>
    <row r="4" spans="1:21" x14ac:dyDescent="0.15">
      <c r="A4" s="41">
        <f t="shared" ref="A4:A35" si="0">ROW()-3</f>
        <v>1</v>
      </c>
      <c r="B4" s="41">
        <v>6</v>
      </c>
      <c r="C4" s="41">
        <v>4</v>
      </c>
      <c r="D4" s="41">
        <v>23</v>
      </c>
      <c r="E4" s="87" t="s">
        <v>740</v>
      </c>
      <c r="F4" s="37" t="s">
        <v>741</v>
      </c>
      <c r="G4" s="41"/>
      <c r="H4" s="348" t="s">
        <v>841</v>
      </c>
      <c r="I4" s="37" t="s">
        <v>742</v>
      </c>
      <c r="J4" s="343">
        <v>110</v>
      </c>
      <c r="K4" s="346"/>
      <c r="M4" s="335">
        <f t="shared" ref="M4:M19" si="1">ROW()-3</f>
        <v>1</v>
      </c>
      <c r="N4" s="41">
        <v>6</v>
      </c>
      <c r="O4" s="41">
        <v>4</v>
      </c>
      <c r="P4" s="41">
        <v>23</v>
      </c>
      <c r="Q4" s="2" t="s">
        <v>817</v>
      </c>
      <c r="R4" s="2" t="s">
        <v>818</v>
      </c>
      <c r="S4" s="2" t="s">
        <v>241</v>
      </c>
      <c r="T4" s="336" t="s">
        <v>827</v>
      </c>
      <c r="U4" s="243">
        <v>1000</v>
      </c>
    </row>
    <row r="5" spans="1:21" x14ac:dyDescent="0.15">
      <c r="A5" s="41">
        <f t="shared" si="0"/>
        <v>2</v>
      </c>
      <c r="B5" s="41">
        <v>6</v>
      </c>
      <c r="C5" s="41">
        <v>6</v>
      </c>
      <c r="D5" s="41">
        <v>14</v>
      </c>
      <c r="E5" s="87" t="s">
        <v>740</v>
      </c>
      <c r="F5" s="37" t="s">
        <v>744</v>
      </c>
      <c r="G5" s="41"/>
      <c r="H5" s="348" t="s">
        <v>841</v>
      </c>
      <c r="I5" s="37" t="s">
        <v>743</v>
      </c>
      <c r="J5" s="343">
        <v>5280</v>
      </c>
      <c r="K5" s="346"/>
      <c r="M5" s="335">
        <f t="shared" si="1"/>
        <v>2</v>
      </c>
      <c r="N5" s="41">
        <v>6</v>
      </c>
      <c r="O5" s="41">
        <v>4</v>
      </c>
      <c r="P5" s="41">
        <v>26</v>
      </c>
      <c r="Q5" s="2" t="s">
        <v>819</v>
      </c>
      <c r="R5" s="2" t="s">
        <v>241</v>
      </c>
      <c r="S5" s="2" t="s">
        <v>241</v>
      </c>
      <c r="T5" s="336" t="s">
        <v>820</v>
      </c>
      <c r="U5" s="243">
        <v>1000</v>
      </c>
    </row>
    <row r="6" spans="1:21" x14ac:dyDescent="0.15">
      <c r="A6" s="41">
        <f t="shared" si="0"/>
        <v>3</v>
      </c>
      <c r="B6" s="41">
        <v>6</v>
      </c>
      <c r="C6" s="41">
        <v>7</v>
      </c>
      <c r="D6" s="41">
        <v>3</v>
      </c>
      <c r="E6" s="87" t="s">
        <v>740</v>
      </c>
      <c r="F6" s="37" t="s">
        <v>746</v>
      </c>
      <c r="G6" s="41"/>
      <c r="H6" s="37"/>
      <c r="I6" s="37" t="s">
        <v>745</v>
      </c>
      <c r="J6" s="343">
        <v>13836</v>
      </c>
      <c r="K6" s="346"/>
      <c r="M6" s="335">
        <f t="shared" si="1"/>
        <v>3</v>
      </c>
      <c r="N6" s="41">
        <v>6</v>
      </c>
      <c r="O6" s="41">
        <v>5</v>
      </c>
      <c r="P6" s="41">
        <v>17</v>
      </c>
      <c r="Q6" s="2" t="s">
        <v>819</v>
      </c>
      <c r="R6" s="2" t="s">
        <v>818</v>
      </c>
      <c r="S6" s="2" t="s">
        <v>241</v>
      </c>
      <c r="T6" s="336" t="s">
        <v>820</v>
      </c>
      <c r="U6" s="243">
        <v>1000</v>
      </c>
    </row>
    <row r="7" spans="1:21" x14ac:dyDescent="0.15">
      <c r="A7" s="41">
        <f t="shared" si="0"/>
        <v>4</v>
      </c>
      <c r="B7" s="41">
        <v>6</v>
      </c>
      <c r="C7" s="41">
        <v>7</v>
      </c>
      <c r="D7" s="41">
        <v>3</v>
      </c>
      <c r="E7" s="87" t="s">
        <v>740</v>
      </c>
      <c r="F7" s="37" t="s">
        <v>747</v>
      </c>
      <c r="G7" s="41"/>
      <c r="H7" s="37"/>
      <c r="I7" s="37" t="s">
        <v>748</v>
      </c>
      <c r="J7" s="343">
        <v>20285</v>
      </c>
      <c r="K7" s="346"/>
      <c r="M7" s="41">
        <f t="shared" si="1"/>
        <v>4</v>
      </c>
      <c r="N7" s="41">
        <v>6</v>
      </c>
      <c r="O7" s="41">
        <v>6</v>
      </c>
      <c r="P7" s="41">
        <v>14</v>
      </c>
      <c r="Q7" s="2" t="s">
        <v>821</v>
      </c>
      <c r="R7" s="2" t="s">
        <v>818</v>
      </c>
      <c r="S7" s="2" t="s">
        <v>241</v>
      </c>
      <c r="T7" s="232"/>
      <c r="U7" s="243">
        <v>1000</v>
      </c>
    </row>
    <row r="8" spans="1:21" x14ac:dyDescent="0.15">
      <c r="A8" s="41">
        <f t="shared" si="0"/>
        <v>5</v>
      </c>
      <c r="B8" s="41">
        <v>6</v>
      </c>
      <c r="C8" s="41">
        <v>7</v>
      </c>
      <c r="D8" s="41">
        <v>3</v>
      </c>
      <c r="E8" s="87" t="s">
        <v>740</v>
      </c>
      <c r="F8" s="37" t="s">
        <v>750</v>
      </c>
      <c r="G8" s="41"/>
      <c r="H8" s="37"/>
      <c r="I8" s="37" t="s">
        <v>749</v>
      </c>
      <c r="J8" s="343">
        <v>14086</v>
      </c>
      <c r="K8" s="346"/>
      <c r="M8" s="335">
        <f t="shared" si="1"/>
        <v>5</v>
      </c>
      <c r="N8" s="41">
        <v>6</v>
      </c>
      <c r="O8" s="41">
        <v>6</v>
      </c>
      <c r="P8" s="41">
        <v>22</v>
      </c>
      <c r="Q8" s="2" t="s">
        <v>819</v>
      </c>
      <c r="R8" s="2" t="s">
        <v>241</v>
      </c>
      <c r="S8" s="2" t="s">
        <v>241</v>
      </c>
      <c r="T8" s="336" t="s">
        <v>820</v>
      </c>
      <c r="U8" s="243">
        <v>1000</v>
      </c>
    </row>
    <row r="9" spans="1:21" x14ac:dyDescent="0.15">
      <c r="A9" s="41">
        <f t="shared" si="0"/>
        <v>6</v>
      </c>
      <c r="B9" s="41">
        <v>6</v>
      </c>
      <c r="C9" s="41">
        <v>7</v>
      </c>
      <c r="D9" s="41">
        <v>3</v>
      </c>
      <c r="E9" s="87" t="s">
        <v>740</v>
      </c>
      <c r="F9" s="37" t="s">
        <v>751</v>
      </c>
      <c r="G9" s="41"/>
      <c r="H9" s="37"/>
      <c r="I9" s="37" t="s">
        <v>749</v>
      </c>
      <c r="J9" s="343">
        <v>11469</v>
      </c>
      <c r="K9" s="346"/>
      <c r="M9" s="335">
        <f t="shared" si="1"/>
        <v>6</v>
      </c>
      <c r="N9" s="41">
        <v>6</v>
      </c>
      <c r="O9" s="41">
        <v>7</v>
      </c>
      <c r="P9" s="41">
        <v>3</v>
      </c>
      <c r="Q9" s="2" t="s">
        <v>819</v>
      </c>
      <c r="R9" s="2" t="s">
        <v>825</v>
      </c>
      <c r="S9" s="2" t="s">
        <v>826</v>
      </c>
      <c r="T9" s="232"/>
      <c r="U9" s="243">
        <v>1000</v>
      </c>
    </row>
    <row r="10" spans="1:21" x14ac:dyDescent="0.15">
      <c r="A10" s="41">
        <f t="shared" si="0"/>
        <v>7</v>
      </c>
      <c r="B10" s="41">
        <v>6</v>
      </c>
      <c r="C10" s="41">
        <v>7</v>
      </c>
      <c r="D10" s="41">
        <v>3</v>
      </c>
      <c r="E10" s="87" t="s">
        <v>740</v>
      </c>
      <c r="F10" s="37" t="s">
        <v>752</v>
      </c>
      <c r="G10" s="41"/>
      <c r="H10" s="348" t="s">
        <v>841</v>
      </c>
      <c r="I10" s="37" t="s">
        <v>742</v>
      </c>
      <c r="J10" s="343">
        <v>1650</v>
      </c>
      <c r="K10" s="346"/>
      <c r="M10" s="335">
        <f t="shared" si="1"/>
        <v>7</v>
      </c>
      <c r="N10" s="41">
        <v>6</v>
      </c>
      <c r="O10" s="41">
        <v>7</v>
      </c>
      <c r="P10" s="41">
        <v>3</v>
      </c>
      <c r="Q10" s="2" t="s">
        <v>819</v>
      </c>
      <c r="R10" s="2" t="s">
        <v>657</v>
      </c>
      <c r="S10" s="2" t="s">
        <v>826</v>
      </c>
      <c r="T10" s="336" t="s">
        <v>837</v>
      </c>
      <c r="U10" s="243">
        <v>1000</v>
      </c>
    </row>
    <row r="11" spans="1:21" x14ac:dyDescent="0.15">
      <c r="A11" s="41">
        <f t="shared" si="0"/>
        <v>8</v>
      </c>
      <c r="B11" s="41">
        <v>6</v>
      </c>
      <c r="C11" s="41">
        <v>7</v>
      </c>
      <c r="D11" s="41">
        <v>4</v>
      </c>
      <c r="E11" s="87" t="s">
        <v>740</v>
      </c>
      <c r="F11" s="37" t="s">
        <v>753</v>
      </c>
      <c r="G11" s="41"/>
      <c r="H11" s="37"/>
      <c r="I11" s="37" t="s">
        <v>754</v>
      </c>
      <c r="J11" s="343">
        <v>3934</v>
      </c>
      <c r="K11" s="346"/>
      <c r="M11" s="41">
        <f t="shared" si="1"/>
        <v>8</v>
      </c>
      <c r="N11" s="41">
        <v>6</v>
      </c>
      <c r="O11" s="41">
        <v>7</v>
      </c>
      <c r="P11" s="41">
        <v>4</v>
      </c>
      <c r="Q11" s="2" t="s">
        <v>833</v>
      </c>
      <c r="R11" s="2" t="s">
        <v>825</v>
      </c>
      <c r="S11" s="2" t="s">
        <v>826</v>
      </c>
      <c r="T11" s="232"/>
      <c r="U11" s="243">
        <v>1000</v>
      </c>
    </row>
    <row r="12" spans="1:21" x14ac:dyDescent="0.15">
      <c r="A12" s="41">
        <f t="shared" si="0"/>
        <v>9</v>
      </c>
      <c r="B12" s="41">
        <v>6</v>
      </c>
      <c r="C12" s="41">
        <v>7</v>
      </c>
      <c r="D12" s="41">
        <v>4</v>
      </c>
      <c r="E12" s="87" t="s">
        <v>740</v>
      </c>
      <c r="F12" s="37" t="s">
        <v>756</v>
      </c>
      <c r="G12" s="41"/>
      <c r="H12" s="348" t="s">
        <v>841</v>
      </c>
      <c r="I12" s="37" t="s">
        <v>755</v>
      </c>
      <c r="J12" s="343">
        <v>1403</v>
      </c>
      <c r="K12" s="346"/>
      <c r="M12" s="41">
        <f t="shared" si="1"/>
        <v>9</v>
      </c>
      <c r="N12" s="41">
        <v>6</v>
      </c>
      <c r="O12" s="41">
        <v>7</v>
      </c>
      <c r="P12" s="41">
        <v>6</v>
      </c>
      <c r="Q12" s="2" t="s">
        <v>819</v>
      </c>
      <c r="R12" s="2" t="s">
        <v>241</v>
      </c>
      <c r="S12" s="2" t="s">
        <v>241</v>
      </c>
      <c r="T12" s="232"/>
      <c r="U12" s="243">
        <v>1000</v>
      </c>
    </row>
    <row r="13" spans="1:21" x14ac:dyDescent="0.15">
      <c r="A13" s="41">
        <f t="shared" si="0"/>
        <v>10</v>
      </c>
      <c r="B13" s="41">
        <v>6</v>
      </c>
      <c r="C13" s="41">
        <v>7</v>
      </c>
      <c r="D13" s="41">
        <v>4</v>
      </c>
      <c r="E13" s="87" t="s">
        <v>740</v>
      </c>
      <c r="F13" s="37" t="s">
        <v>757</v>
      </c>
      <c r="G13" s="41"/>
      <c r="H13" s="37"/>
      <c r="I13" s="37" t="s">
        <v>745</v>
      </c>
      <c r="J13" s="343">
        <v>19707</v>
      </c>
      <c r="K13" s="346"/>
      <c r="M13" s="41">
        <f t="shared" si="1"/>
        <v>10</v>
      </c>
      <c r="N13" s="41">
        <v>6</v>
      </c>
      <c r="O13" s="41">
        <v>7</v>
      </c>
      <c r="P13" s="41">
        <v>8</v>
      </c>
      <c r="Q13" s="2" t="s">
        <v>819</v>
      </c>
      <c r="R13" s="2" t="s">
        <v>657</v>
      </c>
      <c r="S13" s="2" t="s">
        <v>826</v>
      </c>
      <c r="T13" s="232"/>
      <c r="U13" s="243">
        <v>1000</v>
      </c>
    </row>
    <row r="14" spans="1:21" x14ac:dyDescent="0.15">
      <c r="A14" s="41">
        <f t="shared" si="0"/>
        <v>11</v>
      </c>
      <c r="B14" s="41">
        <v>6</v>
      </c>
      <c r="C14" s="41">
        <v>7</v>
      </c>
      <c r="D14" s="41">
        <v>4</v>
      </c>
      <c r="E14" s="87" t="s">
        <v>740</v>
      </c>
      <c r="F14" s="37" t="s">
        <v>758</v>
      </c>
      <c r="G14" s="41"/>
      <c r="H14" s="37"/>
      <c r="I14" s="37" t="s">
        <v>742</v>
      </c>
      <c r="J14" s="343">
        <v>660</v>
      </c>
      <c r="K14" s="346"/>
      <c r="M14" s="41">
        <f t="shared" si="1"/>
        <v>11</v>
      </c>
      <c r="N14" s="41">
        <v>6</v>
      </c>
      <c r="O14" s="41">
        <v>7</v>
      </c>
      <c r="P14" s="41">
        <v>9</v>
      </c>
      <c r="Q14" s="2" t="s">
        <v>831</v>
      </c>
      <c r="R14" s="2" t="s">
        <v>657</v>
      </c>
      <c r="S14" s="2" t="s">
        <v>826</v>
      </c>
      <c r="T14" s="232"/>
      <c r="U14" s="243">
        <v>1000</v>
      </c>
    </row>
    <row r="15" spans="1:21" x14ac:dyDescent="0.15">
      <c r="A15" s="41">
        <f t="shared" si="0"/>
        <v>12</v>
      </c>
      <c r="B15" s="41">
        <v>6</v>
      </c>
      <c r="C15" s="41">
        <v>7</v>
      </c>
      <c r="D15" s="41">
        <v>4</v>
      </c>
      <c r="E15" s="87" t="s">
        <v>740</v>
      </c>
      <c r="F15" s="37" t="s">
        <v>760</v>
      </c>
      <c r="G15" s="41"/>
      <c r="H15" s="349" t="s">
        <v>842</v>
      </c>
      <c r="I15" s="37" t="s">
        <v>759</v>
      </c>
      <c r="J15" s="343">
        <v>2246</v>
      </c>
      <c r="K15" s="346"/>
      <c r="M15" s="41">
        <f t="shared" si="1"/>
        <v>12</v>
      </c>
      <c r="N15" s="41">
        <v>6</v>
      </c>
      <c r="O15" s="41">
        <v>7</v>
      </c>
      <c r="P15" s="41">
        <v>12</v>
      </c>
      <c r="Q15" s="2" t="s">
        <v>822</v>
      </c>
      <c r="R15" s="2" t="s">
        <v>818</v>
      </c>
      <c r="S15" s="2" t="s">
        <v>241</v>
      </c>
      <c r="T15" s="232"/>
      <c r="U15" s="243">
        <v>1000</v>
      </c>
    </row>
    <row r="16" spans="1:21" x14ac:dyDescent="0.15">
      <c r="A16" s="41">
        <f t="shared" si="0"/>
        <v>13</v>
      </c>
      <c r="B16" s="41">
        <v>6</v>
      </c>
      <c r="C16" s="41">
        <v>7</v>
      </c>
      <c r="D16" s="41">
        <v>4</v>
      </c>
      <c r="E16" s="87" t="s">
        <v>740</v>
      </c>
      <c r="F16" s="37" t="s">
        <v>761</v>
      </c>
      <c r="G16" s="41"/>
      <c r="H16" s="37"/>
      <c r="I16" s="37" t="s">
        <v>762</v>
      </c>
      <c r="J16" s="343">
        <v>5214</v>
      </c>
      <c r="K16" s="346"/>
      <c r="M16" s="41">
        <f t="shared" si="1"/>
        <v>13</v>
      </c>
      <c r="N16" s="41">
        <v>6</v>
      </c>
      <c r="O16" s="41">
        <v>7</v>
      </c>
      <c r="P16" s="41">
        <v>16</v>
      </c>
      <c r="Q16" s="2" t="s">
        <v>823</v>
      </c>
      <c r="R16" s="2" t="s">
        <v>818</v>
      </c>
      <c r="S16" s="2" t="s">
        <v>241</v>
      </c>
      <c r="T16" s="232"/>
      <c r="U16" s="243">
        <v>1000</v>
      </c>
    </row>
    <row r="17" spans="1:21" x14ac:dyDescent="0.15">
      <c r="A17" s="41">
        <f t="shared" si="0"/>
        <v>14</v>
      </c>
      <c r="B17" s="41">
        <v>6</v>
      </c>
      <c r="C17" s="41">
        <v>7</v>
      </c>
      <c r="D17" s="41">
        <v>4</v>
      </c>
      <c r="E17" s="87" t="s">
        <v>740</v>
      </c>
      <c r="F17" s="37" t="s">
        <v>764</v>
      </c>
      <c r="G17" s="41"/>
      <c r="H17" s="37"/>
      <c r="I17" s="37" t="s">
        <v>763</v>
      </c>
      <c r="J17" s="343">
        <v>19063</v>
      </c>
      <c r="K17" s="346"/>
      <c r="M17" s="41">
        <f t="shared" si="1"/>
        <v>14</v>
      </c>
      <c r="N17" s="41">
        <v>6</v>
      </c>
      <c r="O17" s="41">
        <v>7</v>
      </c>
      <c r="P17" s="41">
        <v>19</v>
      </c>
      <c r="Q17" s="2" t="s">
        <v>831</v>
      </c>
      <c r="R17" s="2" t="s">
        <v>832</v>
      </c>
      <c r="S17" s="2" t="s">
        <v>241</v>
      </c>
      <c r="T17" s="232"/>
      <c r="U17" s="243">
        <v>1000</v>
      </c>
    </row>
    <row r="18" spans="1:21" x14ac:dyDescent="0.15">
      <c r="A18" s="41">
        <f t="shared" si="0"/>
        <v>15</v>
      </c>
      <c r="B18" s="41">
        <v>6</v>
      </c>
      <c r="C18" s="41">
        <v>7</v>
      </c>
      <c r="D18" s="41">
        <v>6</v>
      </c>
      <c r="E18" s="87" t="s">
        <v>740</v>
      </c>
      <c r="F18" s="37" t="s">
        <v>771</v>
      </c>
      <c r="G18" s="41"/>
      <c r="H18" s="37"/>
      <c r="I18" s="37" t="s">
        <v>748</v>
      </c>
      <c r="J18" s="343">
        <v>756</v>
      </c>
      <c r="K18" s="346"/>
      <c r="M18" s="41">
        <f t="shared" si="1"/>
        <v>15</v>
      </c>
      <c r="N18" s="41">
        <v>6</v>
      </c>
      <c r="O18" s="41">
        <v>7</v>
      </c>
      <c r="P18" s="41">
        <v>21</v>
      </c>
      <c r="Q18" s="2" t="s">
        <v>828</v>
      </c>
      <c r="R18" s="2" t="s">
        <v>825</v>
      </c>
      <c r="S18" s="2" t="s">
        <v>826</v>
      </c>
      <c r="T18" s="232"/>
      <c r="U18" s="243">
        <v>1000</v>
      </c>
    </row>
    <row r="19" spans="1:21" x14ac:dyDescent="0.15">
      <c r="A19" s="41">
        <f t="shared" si="0"/>
        <v>16</v>
      </c>
      <c r="B19" s="41">
        <v>6</v>
      </c>
      <c r="C19" s="41">
        <v>7</v>
      </c>
      <c r="D19" s="41">
        <v>6</v>
      </c>
      <c r="E19" s="87" t="s">
        <v>740</v>
      </c>
      <c r="F19" s="37" t="s">
        <v>772</v>
      </c>
      <c r="G19" s="41"/>
      <c r="H19" s="37"/>
      <c r="I19" s="37" t="s">
        <v>767</v>
      </c>
      <c r="J19" s="343">
        <v>12513</v>
      </c>
      <c r="K19" s="346"/>
      <c r="M19" s="41">
        <f t="shared" si="1"/>
        <v>16</v>
      </c>
      <c r="N19" s="41">
        <v>6</v>
      </c>
      <c r="O19" s="41">
        <v>7</v>
      </c>
      <c r="P19" s="41">
        <v>26</v>
      </c>
      <c r="Q19" s="2" t="s">
        <v>824</v>
      </c>
      <c r="R19" s="2" t="s">
        <v>818</v>
      </c>
      <c r="S19" s="2" t="s">
        <v>241</v>
      </c>
      <c r="T19" s="232"/>
      <c r="U19" s="243">
        <v>1000</v>
      </c>
    </row>
    <row r="20" spans="1:21" x14ac:dyDescent="0.15">
      <c r="A20" s="41">
        <f t="shared" si="0"/>
        <v>17</v>
      </c>
      <c r="B20" s="41">
        <v>6</v>
      </c>
      <c r="C20" s="41">
        <v>7</v>
      </c>
      <c r="D20" s="41">
        <v>8</v>
      </c>
      <c r="E20" s="87" t="s">
        <v>740</v>
      </c>
      <c r="F20" s="37" t="s">
        <v>765</v>
      </c>
      <c r="G20" s="41"/>
      <c r="H20" s="348" t="s">
        <v>841</v>
      </c>
      <c r="I20" s="37" t="s">
        <v>766</v>
      </c>
      <c r="J20" s="343">
        <v>2310</v>
      </c>
      <c r="K20" s="346"/>
      <c r="M20" s="332"/>
      <c r="N20" s="332"/>
      <c r="O20" s="332"/>
      <c r="P20" s="332"/>
      <c r="Q20" s="333"/>
      <c r="R20" s="333"/>
      <c r="S20" s="333"/>
    </row>
    <row r="21" spans="1:21" x14ac:dyDescent="0.15">
      <c r="A21" s="41">
        <f t="shared" si="0"/>
        <v>18</v>
      </c>
      <c r="B21" s="41">
        <v>6</v>
      </c>
      <c r="C21" s="41">
        <v>7</v>
      </c>
      <c r="D21" s="41">
        <v>8</v>
      </c>
      <c r="E21" s="87" t="s">
        <v>740</v>
      </c>
      <c r="F21" s="37" t="s">
        <v>768</v>
      </c>
      <c r="G21" s="41"/>
      <c r="H21" s="37"/>
      <c r="I21" s="37" t="s">
        <v>767</v>
      </c>
      <c r="J21" s="343">
        <v>1315</v>
      </c>
      <c r="K21" s="346"/>
      <c r="M21" s="334"/>
      <c r="N21" s="334"/>
      <c r="O21" s="334"/>
      <c r="P21" s="334"/>
      <c r="U21" s="144">
        <f>SUM(U4:U19)</f>
        <v>16000</v>
      </c>
    </row>
    <row r="22" spans="1:21" x14ac:dyDescent="0.15">
      <c r="A22" s="41">
        <f t="shared" si="0"/>
        <v>19</v>
      </c>
      <c r="B22" s="41">
        <v>6</v>
      </c>
      <c r="C22" s="41">
        <v>7</v>
      </c>
      <c r="D22" s="41">
        <v>8</v>
      </c>
      <c r="E22" s="87" t="s">
        <v>740</v>
      </c>
      <c r="F22" s="37" t="s">
        <v>769</v>
      </c>
      <c r="G22" s="41"/>
      <c r="H22" s="37"/>
      <c r="I22" s="37" t="s">
        <v>767</v>
      </c>
      <c r="J22" s="343">
        <v>20405</v>
      </c>
      <c r="K22" s="346"/>
      <c r="M22" s="334"/>
      <c r="N22" s="334"/>
      <c r="O22" s="334"/>
      <c r="P22" s="334"/>
    </row>
    <row r="23" spans="1:21" x14ac:dyDescent="0.15">
      <c r="A23" s="41">
        <f t="shared" si="0"/>
        <v>20</v>
      </c>
      <c r="B23" s="41">
        <v>6</v>
      </c>
      <c r="C23" s="41">
        <v>7</v>
      </c>
      <c r="D23" s="41">
        <v>8</v>
      </c>
      <c r="E23" s="87" t="s">
        <v>740</v>
      </c>
      <c r="F23" s="37" t="s">
        <v>839</v>
      </c>
      <c r="G23" s="41"/>
      <c r="H23" s="37"/>
      <c r="I23" s="37" t="s">
        <v>162</v>
      </c>
      <c r="J23" s="343">
        <v>498</v>
      </c>
      <c r="K23" s="346"/>
      <c r="M23" s="334"/>
      <c r="N23" s="334"/>
      <c r="O23" s="334"/>
      <c r="P23" s="334"/>
    </row>
    <row r="24" spans="1:21" x14ac:dyDescent="0.15">
      <c r="A24" s="41">
        <f t="shared" si="0"/>
        <v>21</v>
      </c>
      <c r="B24" s="41">
        <v>6</v>
      </c>
      <c r="C24" s="41">
        <v>7</v>
      </c>
      <c r="D24" s="41">
        <v>8</v>
      </c>
      <c r="E24" s="87" t="s">
        <v>740</v>
      </c>
      <c r="F24" s="37" t="s">
        <v>770</v>
      </c>
      <c r="G24" s="41"/>
      <c r="H24" s="37"/>
      <c r="I24" s="37" t="s">
        <v>162</v>
      </c>
      <c r="J24" s="343">
        <v>3009</v>
      </c>
      <c r="K24" s="346"/>
      <c r="M24" s="334"/>
      <c r="N24" s="334"/>
      <c r="O24" s="334"/>
      <c r="P24" s="334"/>
    </row>
    <row r="25" spans="1:21" x14ac:dyDescent="0.15">
      <c r="A25" s="41">
        <f t="shared" si="0"/>
        <v>22</v>
      </c>
      <c r="B25" s="41">
        <v>6</v>
      </c>
      <c r="C25" s="41">
        <v>7</v>
      </c>
      <c r="D25" s="41">
        <v>9</v>
      </c>
      <c r="E25" s="87" t="s">
        <v>740</v>
      </c>
      <c r="F25" s="37" t="s">
        <v>773</v>
      </c>
      <c r="G25" s="41"/>
      <c r="H25" s="37"/>
      <c r="I25" s="37" t="s">
        <v>767</v>
      </c>
      <c r="J25" s="343">
        <v>6039</v>
      </c>
      <c r="K25" s="346"/>
      <c r="M25" s="334"/>
      <c r="N25" s="334"/>
      <c r="O25" s="334"/>
      <c r="P25" s="334"/>
    </row>
    <row r="26" spans="1:21" x14ac:dyDescent="0.15">
      <c r="A26" s="41">
        <f t="shared" si="0"/>
        <v>23</v>
      </c>
      <c r="B26" s="41">
        <v>6</v>
      </c>
      <c r="C26" s="41">
        <v>7</v>
      </c>
      <c r="D26" s="41">
        <v>12</v>
      </c>
      <c r="E26" s="87" t="s">
        <v>740</v>
      </c>
      <c r="F26" s="37" t="s">
        <v>775</v>
      </c>
      <c r="G26" s="41"/>
      <c r="H26" s="37"/>
      <c r="I26" s="37" t="s">
        <v>774</v>
      </c>
      <c r="J26" s="343">
        <v>4235</v>
      </c>
      <c r="K26" s="346"/>
      <c r="M26" s="334"/>
      <c r="N26" s="334"/>
      <c r="O26" s="334"/>
      <c r="P26" s="334"/>
    </row>
    <row r="27" spans="1:21" x14ac:dyDescent="0.15">
      <c r="A27" s="41">
        <f t="shared" si="0"/>
        <v>24</v>
      </c>
      <c r="B27" s="41">
        <v>6</v>
      </c>
      <c r="C27" s="41">
        <v>7</v>
      </c>
      <c r="D27" s="41">
        <v>12</v>
      </c>
      <c r="E27" s="87" t="s">
        <v>740</v>
      </c>
      <c r="F27" s="37" t="s">
        <v>776</v>
      </c>
      <c r="G27" s="41"/>
      <c r="H27" s="37"/>
      <c r="I27" s="37" t="s">
        <v>777</v>
      </c>
      <c r="J27" s="343">
        <v>2332</v>
      </c>
      <c r="K27" s="346"/>
      <c r="M27" s="334"/>
      <c r="N27" s="334"/>
      <c r="O27" s="334"/>
      <c r="P27" s="334"/>
    </row>
    <row r="28" spans="1:21" x14ac:dyDescent="0.15">
      <c r="A28" s="41">
        <f t="shared" si="0"/>
        <v>25</v>
      </c>
      <c r="B28" s="41">
        <v>6</v>
      </c>
      <c r="C28" s="41">
        <v>7</v>
      </c>
      <c r="D28" s="41">
        <v>12</v>
      </c>
      <c r="E28" s="87" t="s">
        <v>740</v>
      </c>
      <c r="F28" s="37" t="s">
        <v>788</v>
      </c>
      <c r="G28" s="41"/>
      <c r="H28" s="37"/>
      <c r="I28" s="37" t="s">
        <v>787</v>
      </c>
      <c r="J28" s="343">
        <v>880</v>
      </c>
      <c r="K28" s="346"/>
      <c r="M28" s="334"/>
      <c r="N28" s="334"/>
      <c r="O28" s="334"/>
      <c r="P28" s="334"/>
    </row>
    <row r="29" spans="1:21" x14ac:dyDescent="0.15">
      <c r="A29" s="41">
        <f t="shared" si="0"/>
        <v>26</v>
      </c>
      <c r="B29" s="41">
        <v>6</v>
      </c>
      <c r="C29" s="41">
        <v>7</v>
      </c>
      <c r="D29" s="41">
        <v>12</v>
      </c>
      <c r="E29" s="87" t="s">
        <v>740</v>
      </c>
      <c r="F29" s="37" t="s">
        <v>778</v>
      </c>
      <c r="G29" s="41"/>
      <c r="H29" s="348" t="s">
        <v>841</v>
      </c>
      <c r="I29" s="37" t="s">
        <v>779</v>
      </c>
      <c r="J29" s="343">
        <v>1210</v>
      </c>
      <c r="K29" s="346"/>
      <c r="M29" s="334"/>
      <c r="N29" s="334"/>
      <c r="O29" s="334"/>
      <c r="P29" s="334"/>
    </row>
    <row r="30" spans="1:21" x14ac:dyDescent="0.15">
      <c r="A30" s="41">
        <f t="shared" si="0"/>
        <v>27</v>
      </c>
      <c r="B30" s="41">
        <v>6</v>
      </c>
      <c r="C30" s="41">
        <v>7</v>
      </c>
      <c r="D30" s="41">
        <v>12</v>
      </c>
      <c r="E30" s="87" t="s">
        <v>740</v>
      </c>
      <c r="F30" s="37" t="s">
        <v>782</v>
      </c>
      <c r="G30" s="41"/>
      <c r="H30" s="348" t="s">
        <v>841</v>
      </c>
      <c r="I30" s="37" t="s">
        <v>781</v>
      </c>
      <c r="J30" s="343">
        <v>1760</v>
      </c>
      <c r="K30" s="346"/>
      <c r="M30" s="334"/>
      <c r="N30" s="334"/>
      <c r="O30" s="334"/>
      <c r="P30" s="334"/>
    </row>
    <row r="31" spans="1:21" x14ac:dyDescent="0.15">
      <c r="A31" s="41">
        <f t="shared" si="0"/>
        <v>28</v>
      </c>
      <c r="B31" s="41">
        <v>6</v>
      </c>
      <c r="C31" s="41">
        <v>7</v>
      </c>
      <c r="D31" s="41">
        <v>12</v>
      </c>
      <c r="E31" s="87" t="s">
        <v>740</v>
      </c>
      <c r="F31" s="37" t="s">
        <v>780</v>
      </c>
      <c r="G31" s="41"/>
      <c r="H31" s="37"/>
      <c r="I31" s="37" t="s">
        <v>749</v>
      </c>
      <c r="J31" s="343">
        <v>4930</v>
      </c>
      <c r="K31" s="346"/>
      <c r="M31" s="334"/>
      <c r="N31" s="334"/>
      <c r="O31" s="334"/>
      <c r="P31" s="334"/>
    </row>
    <row r="32" spans="1:21" x14ac:dyDescent="0.15">
      <c r="A32" s="41">
        <f t="shared" si="0"/>
        <v>29</v>
      </c>
      <c r="B32" s="41">
        <v>6</v>
      </c>
      <c r="C32" s="41">
        <v>7</v>
      </c>
      <c r="D32" s="41">
        <v>12</v>
      </c>
      <c r="E32" s="87" t="s">
        <v>740</v>
      </c>
      <c r="F32" s="37" t="s">
        <v>775</v>
      </c>
      <c r="G32" s="41"/>
      <c r="H32" s="37"/>
      <c r="I32" s="37" t="s">
        <v>783</v>
      </c>
      <c r="J32" s="343">
        <v>2041</v>
      </c>
      <c r="K32" s="346"/>
      <c r="M32" s="334"/>
      <c r="N32" s="334"/>
      <c r="O32" s="334"/>
      <c r="P32" s="334"/>
    </row>
    <row r="33" spans="1:16" x14ac:dyDescent="0.15">
      <c r="A33" s="41">
        <f t="shared" si="0"/>
        <v>30</v>
      </c>
      <c r="B33" s="41">
        <v>6</v>
      </c>
      <c r="C33" s="41">
        <v>7</v>
      </c>
      <c r="D33" s="41">
        <v>12</v>
      </c>
      <c r="E33" s="87" t="s">
        <v>740</v>
      </c>
      <c r="F33" s="37" t="s">
        <v>784</v>
      </c>
      <c r="G33" s="41"/>
      <c r="H33" s="37"/>
      <c r="I33" s="37" t="s">
        <v>748</v>
      </c>
      <c r="J33" s="343">
        <v>3302</v>
      </c>
      <c r="K33" s="346"/>
      <c r="M33" s="334"/>
      <c r="N33" s="334"/>
      <c r="O33" s="334"/>
      <c r="P33" s="334"/>
    </row>
    <row r="34" spans="1:16" x14ac:dyDescent="0.15">
      <c r="A34" s="41">
        <f t="shared" si="0"/>
        <v>31</v>
      </c>
      <c r="B34" s="41">
        <v>6</v>
      </c>
      <c r="C34" s="41">
        <v>7</v>
      </c>
      <c r="D34" s="41">
        <v>12</v>
      </c>
      <c r="E34" s="87" t="s">
        <v>740</v>
      </c>
      <c r="F34" s="37" t="s">
        <v>785</v>
      </c>
      <c r="G34" s="41"/>
      <c r="H34" s="37"/>
      <c r="I34" s="37" t="s">
        <v>767</v>
      </c>
      <c r="J34" s="343">
        <v>278</v>
      </c>
      <c r="K34" s="346"/>
      <c r="M34" s="334"/>
      <c r="N34" s="334"/>
      <c r="O34" s="334"/>
      <c r="P34" s="334"/>
    </row>
    <row r="35" spans="1:16" x14ac:dyDescent="0.15">
      <c r="A35" s="41">
        <f t="shared" si="0"/>
        <v>32</v>
      </c>
      <c r="B35" s="41">
        <v>6</v>
      </c>
      <c r="C35" s="41">
        <v>7</v>
      </c>
      <c r="D35" s="41">
        <v>12</v>
      </c>
      <c r="E35" s="87" t="s">
        <v>740</v>
      </c>
      <c r="F35" s="37" t="s">
        <v>786</v>
      </c>
      <c r="G35" s="41"/>
      <c r="H35" s="37"/>
      <c r="I35" s="37" t="s">
        <v>767</v>
      </c>
      <c r="J35" s="343">
        <v>2783</v>
      </c>
      <c r="K35" s="346"/>
      <c r="M35" s="334"/>
      <c r="N35" s="334"/>
      <c r="O35" s="334"/>
      <c r="P35" s="334"/>
    </row>
    <row r="36" spans="1:16" x14ac:dyDescent="0.15">
      <c r="A36" s="41">
        <f t="shared" ref="A36:A54" si="2">ROW()-3</f>
        <v>33</v>
      </c>
      <c r="B36" s="41">
        <v>6</v>
      </c>
      <c r="C36" s="41">
        <v>7</v>
      </c>
      <c r="D36" s="41">
        <v>16</v>
      </c>
      <c r="E36" s="87" t="s">
        <v>740</v>
      </c>
      <c r="F36" s="37" t="s">
        <v>790</v>
      </c>
      <c r="G36" s="41"/>
      <c r="H36" s="37"/>
      <c r="I36" s="37" t="s">
        <v>743</v>
      </c>
      <c r="J36" s="343">
        <v>660</v>
      </c>
      <c r="K36" s="346"/>
      <c r="M36" s="334"/>
      <c r="N36" s="334"/>
      <c r="O36" s="334"/>
      <c r="P36" s="334"/>
    </row>
    <row r="37" spans="1:16" x14ac:dyDescent="0.15">
      <c r="A37" s="41">
        <f t="shared" si="2"/>
        <v>34</v>
      </c>
      <c r="B37" s="41">
        <v>6</v>
      </c>
      <c r="C37" s="41">
        <v>7</v>
      </c>
      <c r="D37" s="41">
        <v>16</v>
      </c>
      <c r="E37" s="87" t="s">
        <v>740</v>
      </c>
      <c r="F37" s="37" t="s">
        <v>791</v>
      </c>
      <c r="G37" s="41"/>
      <c r="H37" s="37"/>
      <c r="I37" s="37" t="s">
        <v>789</v>
      </c>
      <c r="J37" s="343">
        <v>990</v>
      </c>
      <c r="K37" s="346"/>
      <c r="M37" s="334"/>
      <c r="N37" s="334"/>
      <c r="O37" s="334"/>
      <c r="P37" s="334"/>
    </row>
    <row r="38" spans="1:16" x14ac:dyDescent="0.15">
      <c r="A38" s="41">
        <f t="shared" si="2"/>
        <v>35</v>
      </c>
      <c r="B38" s="41">
        <v>6</v>
      </c>
      <c r="C38" s="41">
        <v>7</v>
      </c>
      <c r="D38" s="41">
        <v>16</v>
      </c>
      <c r="E38" s="87" t="s">
        <v>740</v>
      </c>
      <c r="F38" s="37" t="s">
        <v>792</v>
      </c>
      <c r="G38" s="41"/>
      <c r="H38" s="37"/>
      <c r="I38" s="37" t="s">
        <v>749</v>
      </c>
      <c r="J38" s="343">
        <v>592</v>
      </c>
      <c r="K38" s="346"/>
      <c r="M38" s="334"/>
      <c r="N38" s="334"/>
      <c r="O38" s="334"/>
      <c r="P38" s="334"/>
    </row>
    <row r="39" spans="1:16" x14ac:dyDescent="0.15">
      <c r="A39" s="41">
        <f t="shared" si="2"/>
        <v>36</v>
      </c>
      <c r="B39" s="41">
        <v>6</v>
      </c>
      <c r="C39" s="41">
        <v>7</v>
      </c>
      <c r="D39" s="41">
        <v>16</v>
      </c>
      <c r="E39" s="87" t="s">
        <v>740</v>
      </c>
      <c r="F39" s="37" t="s">
        <v>793</v>
      </c>
      <c r="G39" s="41"/>
      <c r="H39" s="107"/>
      <c r="I39" s="331" t="s">
        <v>146</v>
      </c>
      <c r="J39" s="343">
        <v>82800</v>
      </c>
      <c r="K39" s="346"/>
      <c r="M39" s="334"/>
      <c r="N39" s="334"/>
      <c r="O39" s="334"/>
      <c r="P39" s="334"/>
    </row>
    <row r="40" spans="1:16" x14ac:dyDescent="0.15">
      <c r="A40" s="41">
        <f t="shared" si="2"/>
        <v>37</v>
      </c>
      <c r="B40" s="41">
        <v>6</v>
      </c>
      <c r="C40" s="41">
        <v>7</v>
      </c>
      <c r="D40" s="41">
        <v>16</v>
      </c>
      <c r="E40" s="87" t="s">
        <v>740</v>
      </c>
      <c r="F40" s="37" t="s">
        <v>794</v>
      </c>
      <c r="G40" s="41"/>
      <c r="H40" s="330"/>
      <c r="I40" s="331" t="s">
        <v>146</v>
      </c>
      <c r="J40" s="343">
        <v>11700</v>
      </c>
      <c r="K40" s="346"/>
      <c r="M40" s="334"/>
      <c r="N40" s="334"/>
      <c r="O40" s="334"/>
      <c r="P40" s="334"/>
    </row>
    <row r="41" spans="1:16" x14ac:dyDescent="0.15">
      <c r="A41" s="41">
        <f t="shared" si="2"/>
        <v>38</v>
      </c>
      <c r="B41" s="41">
        <v>6</v>
      </c>
      <c r="C41" s="41">
        <v>7</v>
      </c>
      <c r="D41" s="41">
        <v>16</v>
      </c>
      <c r="E41" s="87" t="s">
        <v>740</v>
      </c>
      <c r="F41" s="37" t="s">
        <v>795</v>
      </c>
      <c r="G41" s="41"/>
      <c r="H41" s="348" t="s">
        <v>841</v>
      </c>
      <c r="I41" s="37" t="s">
        <v>781</v>
      </c>
      <c r="J41" s="343">
        <v>3080</v>
      </c>
      <c r="K41" s="346"/>
      <c r="M41" s="334"/>
      <c r="N41" s="334"/>
      <c r="O41" s="334"/>
      <c r="P41" s="334"/>
    </row>
    <row r="42" spans="1:16" x14ac:dyDescent="0.15">
      <c r="A42" s="41">
        <f t="shared" si="2"/>
        <v>39</v>
      </c>
      <c r="B42" s="41">
        <v>6</v>
      </c>
      <c r="C42" s="41">
        <v>7</v>
      </c>
      <c r="D42" s="41">
        <v>18</v>
      </c>
      <c r="E42" s="87" t="s">
        <v>740</v>
      </c>
      <c r="F42" s="37" t="s">
        <v>796</v>
      </c>
      <c r="G42" s="41"/>
      <c r="H42" s="37"/>
      <c r="I42" s="37" t="s">
        <v>797</v>
      </c>
      <c r="J42" s="343">
        <v>380</v>
      </c>
      <c r="K42" s="346"/>
      <c r="M42" s="334"/>
      <c r="N42" s="334"/>
      <c r="O42" s="334"/>
      <c r="P42" s="334"/>
    </row>
    <row r="43" spans="1:16" x14ac:dyDescent="0.15">
      <c r="A43" s="41">
        <f t="shared" si="2"/>
        <v>40</v>
      </c>
      <c r="B43" s="41">
        <v>6</v>
      </c>
      <c r="C43" s="41">
        <v>7</v>
      </c>
      <c r="D43" s="41">
        <v>19</v>
      </c>
      <c r="E43" s="87" t="s">
        <v>740</v>
      </c>
      <c r="F43" s="37" t="s">
        <v>798</v>
      </c>
      <c r="G43" s="41"/>
      <c r="H43" s="37"/>
      <c r="I43" s="37" t="s">
        <v>51</v>
      </c>
      <c r="J43" s="343">
        <v>2800</v>
      </c>
      <c r="K43" s="346"/>
      <c r="M43" s="334"/>
      <c r="N43" s="334"/>
      <c r="O43" s="334"/>
      <c r="P43" s="334"/>
    </row>
    <row r="44" spans="1:16" x14ac:dyDescent="0.15">
      <c r="A44" s="41">
        <f t="shared" si="2"/>
        <v>41</v>
      </c>
      <c r="B44" s="41">
        <v>6</v>
      </c>
      <c r="C44" s="41">
        <v>7</v>
      </c>
      <c r="D44" s="41">
        <v>19</v>
      </c>
      <c r="E44" s="87" t="s">
        <v>740</v>
      </c>
      <c r="F44" s="37" t="s">
        <v>799</v>
      </c>
      <c r="G44" s="41"/>
      <c r="H44" s="37"/>
      <c r="I44" s="37" t="s">
        <v>767</v>
      </c>
      <c r="J44" s="343">
        <v>1509</v>
      </c>
      <c r="K44" s="346"/>
      <c r="M44" s="334"/>
      <c r="N44" s="334"/>
      <c r="O44" s="334"/>
      <c r="P44" s="334"/>
    </row>
    <row r="45" spans="1:16" x14ac:dyDescent="0.15">
      <c r="A45" s="41">
        <f t="shared" si="2"/>
        <v>42</v>
      </c>
      <c r="B45" s="41">
        <v>6</v>
      </c>
      <c r="C45" s="41">
        <v>7</v>
      </c>
      <c r="D45" s="41">
        <v>19</v>
      </c>
      <c r="E45" s="87" t="s">
        <v>740</v>
      </c>
      <c r="F45" s="37" t="s">
        <v>800</v>
      </c>
      <c r="G45" s="41"/>
      <c r="H45" s="37"/>
      <c r="I45" s="37" t="s">
        <v>767</v>
      </c>
      <c r="J45" s="343">
        <v>5780</v>
      </c>
      <c r="K45" s="346"/>
      <c r="M45" s="334"/>
      <c r="N45" s="334"/>
      <c r="O45" s="334"/>
      <c r="P45" s="334"/>
    </row>
    <row r="46" spans="1:16" x14ac:dyDescent="0.15">
      <c r="A46" s="41">
        <f t="shared" si="2"/>
        <v>43</v>
      </c>
      <c r="B46" s="41">
        <v>6</v>
      </c>
      <c r="C46" s="41">
        <v>7</v>
      </c>
      <c r="D46" s="41">
        <v>20</v>
      </c>
      <c r="E46" s="87" t="s">
        <v>740</v>
      </c>
      <c r="F46" s="37" t="s">
        <v>801</v>
      </c>
      <c r="G46" s="41"/>
      <c r="H46" s="37"/>
      <c r="I46" s="37" t="s">
        <v>802</v>
      </c>
      <c r="J46" s="343">
        <v>18014</v>
      </c>
      <c r="K46" s="346"/>
      <c r="M46" s="334"/>
      <c r="N46" s="334"/>
      <c r="O46" s="334"/>
      <c r="P46" s="334"/>
    </row>
    <row r="47" spans="1:16" x14ac:dyDescent="0.15">
      <c r="A47" s="41">
        <f t="shared" si="2"/>
        <v>44</v>
      </c>
      <c r="B47" s="41">
        <v>6</v>
      </c>
      <c r="C47" s="41">
        <v>7</v>
      </c>
      <c r="D47" s="41">
        <v>20</v>
      </c>
      <c r="E47" s="87" t="s">
        <v>740</v>
      </c>
      <c r="F47" s="37" t="s">
        <v>803</v>
      </c>
      <c r="G47" s="41"/>
      <c r="H47" s="37"/>
      <c r="I47" s="37" t="s">
        <v>134</v>
      </c>
      <c r="J47" s="343">
        <v>1400</v>
      </c>
      <c r="K47" s="346"/>
      <c r="M47" s="334"/>
      <c r="N47" s="334"/>
      <c r="O47" s="334"/>
      <c r="P47" s="334"/>
    </row>
    <row r="48" spans="1:16" x14ac:dyDescent="0.15">
      <c r="A48" s="41">
        <f t="shared" si="2"/>
        <v>45</v>
      </c>
      <c r="B48" s="41">
        <v>6</v>
      </c>
      <c r="C48" s="41">
        <v>7</v>
      </c>
      <c r="D48" s="41">
        <v>21</v>
      </c>
      <c r="E48" s="87" t="s">
        <v>740</v>
      </c>
      <c r="F48" s="37" t="s">
        <v>829</v>
      </c>
      <c r="G48" s="41"/>
      <c r="H48" s="37"/>
      <c r="I48" s="37" t="s">
        <v>804</v>
      </c>
      <c r="J48" s="343">
        <v>4000</v>
      </c>
      <c r="K48" s="346"/>
      <c r="M48" s="334"/>
      <c r="N48" s="334"/>
      <c r="O48" s="334"/>
      <c r="P48" s="334"/>
    </row>
    <row r="49" spans="1:16" x14ac:dyDescent="0.15">
      <c r="A49" s="41">
        <f t="shared" si="2"/>
        <v>46</v>
      </c>
      <c r="B49" s="41">
        <v>6</v>
      </c>
      <c r="C49" s="41">
        <v>7</v>
      </c>
      <c r="D49" s="41">
        <v>21</v>
      </c>
      <c r="E49" s="87" t="s">
        <v>740</v>
      </c>
      <c r="F49" s="37" t="s">
        <v>805</v>
      </c>
      <c r="G49" s="41"/>
      <c r="H49" s="37"/>
      <c r="I49" s="37" t="s">
        <v>162</v>
      </c>
      <c r="J49" s="343">
        <v>2476</v>
      </c>
      <c r="K49" s="346"/>
      <c r="M49" s="334"/>
      <c r="N49" s="334"/>
      <c r="O49" s="334"/>
      <c r="P49" s="334"/>
    </row>
    <row r="50" spans="1:16" x14ac:dyDescent="0.15">
      <c r="A50" s="41">
        <f t="shared" si="2"/>
        <v>47</v>
      </c>
      <c r="B50" s="41">
        <v>6</v>
      </c>
      <c r="C50" s="41">
        <v>7</v>
      </c>
      <c r="D50" s="41">
        <v>21</v>
      </c>
      <c r="E50" s="87" t="s">
        <v>740</v>
      </c>
      <c r="F50" s="37" t="s">
        <v>806</v>
      </c>
      <c r="G50" s="41"/>
      <c r="H50" s="37"/>
      <c r="I50" s="37" t="s">
        <v>767</v>
      </c>
      <c r="J50" s="343">
        <v>4619</v>
      </c>
      <c r="K50" s="346"/>
      <c r="M50" s="334"/>
      <c r="N50" s="334"/>
      <c r="O50" s="334"/>
      <c r="P50" s="334"/>
    </row>
    <row r="51" spans="1:16" x14ac:dyDescent="0.15">
      <c r="A51" s="41">
        <f t="shared" si="2"/>
        <v>48</v>
      </c>
      <c r="B51" s="41">
        <v>6</v>
      </c>
      <c r="C51" s="41">
        <v>7</v>
      </c>
      <c r="D51" s="41">
        <v>21</v>
      </c>
      <c r="E51" s="87" t="s">
        <v>740</v>
      </c>
      <c r="F51" s="37" t="s">
        <v>807</v>
      </c>
      <c r="G51" s="41"/>
      <c r="H51" s="37"/>
      <c r="I51" s="37" t="s">
        <v>808</v>
      </c>
      <c r="J51" s="343">
        <v>311</v>
      </c>
      <c r="K51" s="346"/>
      <c r="M51" s="334"/>
      <c r="N51" s="334"/>
      <c r="O51" s="334"/>
      <c r="P51" s="334"/>
    </row>
    <row r="52" spans="1:16" x14ac:dyDescent="0.15">
      <c r="A52" s="41">
        <f t="shared" si="2"/>
        <v>49</v>
      </c>
      <c r="B52" s="41">
        <v>6</v>
      </c>
      <c r="C52" s="41">
        <v>7</v>
      </c>
      <c r="D52" s="41">
        <v>26</v>
      </c>
      <c r="E52" s="87" t="s">
        <v>740</v>
      </c>
      <c r="F52" s="37" t="s">
        <v>840</v>
      </c>
      <c r="G52" s="41"/>
      <c r="H52" s="37"/>
      <c r="I52" s="37" t="s">
        <v>809</v>
      </c>
      <c r="J52" s="343">
        <v>745</v>
      </c>
      <c r="K52" s="346"/>
      <c r="M52" s="334"/>
      <c r="N52" s="334"/>
      <c r="O52" s="334"/>
      <c r="P52" s="334"/>
    </row>
    <row r="53" spans="1:16" x14ac:dyDescent="0.15">
      <c r="A53" s="41">
        <f t="shared" si="2"/>
        <v>50</v>
      </c>
      <c r="B53" s="41">
        <v>6</v>
      </c>
      <c r="C53" s="41">
        <v>7</v>
      </c>
      <c r="D53" s="41">
        <v>26</v>
      </c>
      <c r="E53" s="87" t="s">
        <v>740</v>
      </c>
      <c r="F53" s="37" t="s">
        <v>811</v>
      </c>
      <c r="G53" s="41"/>
      <c r="H53" s="37"/>
      <c r="I53" s="37" t="s">
        <v>810</v>
      </c>
      <c r="J53" s="343">
        <v>875</v>
      </c>
      <c r="K53" s="346"/>
      <c r="M53" s="334"/>
      <c r="N53" s="334"/>
      <c r="O53" s="334"/>
      <c r="P53" s="334"/>
    </row>
    <row r="54" spans="1:16" x14ac:dyDescent="0.15">
      <c r="A54" s="41">
        <f t="shared" si="2"/>
        <v>51</v>
      </c>
      <c r="B54" s="41">
        <v>6</v>
      </c>
      <c r="C54" s="41">
        <v>7</v>
      </c>
      <c r="D54" s="41">
        <v>22</v>
      </c>
      <c r="E54" s="87" t="s">
        <v>740</v>
      </c>
      <c r="F54" s="37" t="s">
        <v>813</v>
      </c>
      <c r="G54" s="41"/>
      <c r="H54" s="37"/>
      <c r="I54" s="37" t="s">
        <v>812</v>
      </c>
      <c r="J54" s="343">
        <v>2200</v>
      </c>
      <c r="K54" s="346"/>
      <c r="M54" s="334"/>
      <c r="N54" s="334"/>
      <c r="O54" s="334"/>
      <c r="P54" s="334"/>
    </row>
    <row r="55" spans="1:16" x14ac:dyDescent="0.15">
      <c r="I55" s="154" t="s">
        <v>45</v>
      </c>
      <c r="J55" s="144" t="s">
        <v>835</v>
      </c>
      <c r="K55" s="144" t="s">
        <v>836</v>
      </c>
    </row>
    <row r="56" spans="1:16" x14ac:dyDescent="0.15">
      <c r="I56" s="144">
        <v>350000</v>
      </c>
      <c r="J56" s="144">
        <f>SUM(J4:J54)</f>
        <v>334470</v>
      </c>
      <c r="K56" s="144">
        <f>I56-J56</f>
        <v>15530</v>
      </c>
    </row>
  </sheetData>
  <phoneticPr fontId="2"/>
  <pageMargins left="0.7" right="0.7" top="0.75" bottom="0.75" header="0.3" footer="0.3"/>
  <pageSetup paperSize="9" scale="83" orientation="portrait" r:id="rId1"/>
  <colBreaks count="1" manualBreakCount="1">
    <brk id="11" max="1048575" man="1"/>
  </colBreaks>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2A4124C-FED8-4825-BBA6-E743F88DB66D}">
  <sheetPr>
    <pageSetUpPr fitToPage="1"/>
  </sheetPr>
  <dimension ref="A1:U59"/>
  <sheetViews>
    <sheetView view="pageBreakPreview" zoomScale="85" zoomScaleNormal="100" zoomScaleSheetLayoutView="85" workbookViewId="0">
      <selection activeCell="I60" sqref="I60"/>
    </sheetView>
  </sheetViews>
  <sheetFormatPr defaultRowHeight="13.5" x14ac:dyDescent="0.15"/>
  <cols>
    <col min="1" max="1" width="4.5" style="114" bestFit="1" customWidth="1"/>
    <col min="2" max="5" width="4.125" style="114" customWidth="1"/>
    <col min="6" max="6" width="27.125" style="85" customWidth="1"/>
    <col min="7" max="7" width="5" style="114" hidden="1" customWidth="1"/>
    <col min="8" max="8" width="11.75" style="85" bestFit="1" customWidth="1"/>
    <col min="9" max="9" width="27.25" style="107" bestFit="1" customWidth="1"/>
    <col min="10" max="10" width="9" style="144" bestFit="1" customWidth="1"/>
    <col min="11" max="11" width="9.625" style="144" customWidth="1"/>
    <col min="12" max="12" width="3.625" customWidth="1"/>
    <col min="13" max="13" width="4.5" style="114" bestFit="1" customWidth="1"/>
    <col min="14" max="16" width="4.125" style="114" customWidth="1"/>
    <col min="17" max="17" width="18.125" bestFit="1" customWidth="1"/>
    <col min="19" max="19" width="15.25" bestFit="1" customWidth="1"/>
    <col min="20" max="20" width="17.625" bestFit="1" customWidth="1"/>
    <col min="21" max="21" width="8.375" bestFit="1" customWidth="1"/>
  </cols>
  <sheetData>
    <row r="1" spans="1:21" x14ac:dyDescent="0.15">
      <c r="A1" s="81"/>
      <c r="B1" s="81"/>
      <c r="C1" s="81"/>
      <c r="D1" s="81"/>
      <c r="E1" s="81"/>
      <c r="F1" s="82"/>
      <c r="G1" s="81"/>
      <c r="H1" s="82"/>
      <c r="I1" s="81"/>
      <c r="J1" s="83"/>
      <c r="K1" s="344"/>
      <c r="M1" s="81"/>
      <c r="N1" s="81"/>
      <c r="O1" s="81"/>
      <c r="P1" s="81"/>
    </row>
    <row r="2" spans="1:21" x14ac:dyDescent="0.15">
      <c r="A2" s="337" t="s">
        <v>6</v>
      </c>
      <c r="B2" s="337" t="s">
        <v>0</v>
      </c>
      <c r="C2" s="337" t="s">
        <v>1</v>
      </c>
      <c r="D2" s="337" t="s">
        <v>2</v>
      </c>
      <c r="E2" s="337" t="s">
        <v>726</v>
      </c>
      <c r="F2" s="338" t="s">
        <v>3</v>
      </c>
      <c r="G2" s="337" t="s">
        <v>4</v>
      </c>
      <c r="H2" s="337" t="s">
        <v>838</v>
      </c>
      <c r="I2" s="337" t="s">
        <v>5</v>
      </c>
      <c r="J2" s="341" t="s">
        <v>7</v>
      </c>
      <c r="K2" s="347"/>
      <c r="M2" s="337" t="s">
        <v>6</v>
      </c>
      <c r="N2" s="337" t="s">
        <v>0</v>
      </c>
      <c r="O2" s="337" t="s">
        <v>1</v>
      </c>
      <c r="P2" s="337" t="s">
        <v>2</v>
      </c>
      <c r="Q2" s="338" t="s">
        <v>830</v>
      </c>
      <c r="R2" s="338" t="s">
        <v>815</v>
      </c>
      <c r="S2" s="339" t="s">
        <v>814</v>
      </c>
      <c r="T2" s="338" t="s">
        <v>816</v>
      </c>
      <c r="U2" s="351" t="s">
        <v>849</v>
      </c>
    </row>
    <row r="3" spans="1:21" hidden="1" x14ac:dyDescent="0.15">
      <c r="A3" s="93">
        <v>0</v>
      </c>
      <c r="B3" s="93"/>
      <c r="C3" s="93"/>
      <c r="D3" s="93"/>
      <c r="E3" s="93"/>
      <c r="F3" s="94"/>
      <c r="G3" s="93"/>
      <c r="H3" s="93"/>
      <c r="I3" s="93"/>
      <c r="J3" s="342"/>
      <c r="K3" s="345"/>
      <c r="M3" s="93">
        <v>0</v>
      </c>
      <c r="N3" s="93"/>
      <c r="O3" s="93"/>
      <c r="P3" s="93"/>
      <c r="T3" s="232"/>
      <c r="U3" s="232"/>
    </row>
    <row r="4" spans="1:21" x14ac:dyDescent="0.15">
      <c r="A4" s="41">
        <f t="shared" ref="A4:A54" si="0">ROW()-3</f>
        <v>1</v>
      </c>
      <c r="B4" s="41">
        <v>6</v>
      </c>
      <c r="C4" s="41">
        <v>4</v>
      </c>
      <c r="D4" s="41">
        <v>23</v>
      </c>
      <c r="E4" s="87" t="s">
        <v>740</v>
      </c>
      <c r="F4" s="37" t="s">
        <v>741</v>
      </c>
      <c r="G4" s="41"/>
      <c r="H4" s="348" t="s">
        <v>233</v>
      </c>
      <c r="I4" s="37" t="s">
        <v>742</v>
      </c>
      <c r="J4" s="354">
        <v>110</v>
      </c>
      <c r="K4" s="346">
        <f>J4</f>
        <v>110</v>
      </c>
      <c r="M4" s="41">
        <f t="shared" ref="M4:M19" si="1">ROW()-3</f>
        <v>1</v>
      </c>
      <c r="N4" s="41">
        <v>6</v>
      </c>
      <c r="O4" s="41">
        <v>4</v>
      </c>
      <c r="P4" s="41">
        <v>23</v>
      </c>
      <c r="Q4" s="2" t="s">
        <v>817</v>
      </c>
      <c r="R4" s="2" t="s">
        <v>818</v>
      </c>
      <c r="S4" s="350" t="s">
        <v>241</v>
      </c>
      <c r="T4" s="232" t="s">
        <v>845</v>
      </c>
      <c r="U4" s="234">
        <v>1000</v>
      </c>
    </row>
    <row r="5" spans="1:21" x14ac:dyDescent="0.15">
      <c r="A5" s="41">
        <f t="shared" si="0"/>
        <v>2</v>
      </c>
      <c r="B5" s="41">
        <v>6</v>
      </c>
      <c r="C5" s="41">
        <v>6</v>
      </c>
      <c r="D5" s="41">
        <v>14</v>
      </c>
      <c r="E5" s="87" t="s">
        <v>740</v>
      </c>
      <c r="F5" s="37" t="s">
        <v>744</v>
      </c>
      <c r="G5" s="41"/>
      <c r="H5" s="348" t="s">
        <v>233</v>
      </c>
      <c r="I5" s="37" t="s">
        <v>743</v>
      </c>
      <c r="J5" s="354">
        <v>5280</v>
      </c>
      <c r="K5" s="346">
        <f>J5</f>
        <v>5280</v>
      </c>
      <c r="M5" s="41">
        <f t="shared" si="1"/>
        <v>2</v>
      </c>
      <c r="N5" s="41">
        <v>6</v>
      </c>
      <c r="O5" s="41">
        <v>4</v>
      </c>
      <c r="P5" s="41">
        <v>26</v>
      </c>
      <c r="Q5" s="2" t="s">
        <v>819</v>
      </c>
      <c r="R5" s="2" t="s">
        <v>241</v>
      </c>
      <c r="S5" s="350" t="s">
        <v>241</v>
      </c>
      <c r="T5" s="352" t="s">
        <v>846</v>
      </c>
      <c r="U5" s="234">
        <v>1000</v>
      </c>
    </row>
    <row r="6" spans="1:21" x14ac:dyDescent="0.15">
      <c r="A6" s="41">
        <f t="shared" si="0"/>
        <v>3</v>
      </c>
      <c r="B6" s="41">
        <v>6</v>
      </c>
      <c r="C6" s="41">
        <v>7</v>
      </c>
      <c r="D6" s="41">
        <v>3</v>
      </c>
      <c r="E6" s="87" t="s">
        <v>740</v>
      </c>
      <c r="F6" s="37" t="s">
        <v>746</v>
      </c>
      <c r="G6" s="41"/>
      <c r="H6" s="41" t="s">
        <v>712</v>
      </c>
      <c r="I6" s="37" t="s">
        <v>745</v>
      </c>
      <c r="J6" s="343">
        <v>13836</v>
      </c>
      <c r="K6" s="346"/>
      <c r="M6" s="41">
        <f t="shared" si="1"/>
        <v>3</v>
      </c>
      <c r="N6" s="41">
        <v>6</v>
      </c>
      <c r="O6" s="41">
        <v>5</v>
      </c>
      <c r="P6" s="41">
        <v>17</v>
      </c>
      <c r="Q6" s="2" t="s">
        <v>819</v>
      </c>
      <c r="R6" s="2" t="s">
        <v>818</v>
      </c>
      <c r="S6" s="350" t="s">
        <v>241</v>
      </c>
      <c r="T6" s="352" t="s">
        <v>846</v>
      </c>
      <c r="U6" s="234">
        <v>1000</v>
      </c>
    </row>
    <row r="7" spans="1:21" x14ac:dyDescent="0.15">
      <c r="A7" s="41">
        <f t="shared" si="0"/>
        <v>4</v>
      </c>
      <c r="B7" s="41">
        <v>6</v>
      </c>
      <c r="C7" s="41">
        <v>7</v>
      </c>
      <c r="D7" s="41">
        <v>3</v>
      </c>
      <c r="E7" s="87" t="s">
        <v>740</v>
      </c>
      <c r="F7" s="37" t="s">
        <v>747</v>
      </c>
      <c r="G7" s="41"/>
      <c r="H7" s="41" t="s">
        <v>712</v>
      </c>
      <c r="I7" s="37" t="s">
        <v>748</v>
      </c>
      <c r="J7" s="343">
        <v>20285</v>
      </c>
      <c r="K7" s="346"/>
      <c r="M7" s="41">
        <f t="shared" si="1"/>
        <v>4</v>
      </c>
      <c r="N7" s="41">
        <v>6</v>
      </c>
      <c r="O7" s="41">
        <v>6</v>
      </c>
      <c r="P7" s="41">
        <v>14</v>
      </c>
      <c r="Q7" s="2" t="s">
        <v>821</v>
      </c>
      <c r="R7" s="2" t="s">
        <v>818</v>
      </c>
      <c r="S7" s="350" t="s">
        <v>241</v>
      </c>
      <c r="T7" s="232"/>
      <c r="U7" s="234">
        <v>1000</v>
      </c>
    </row>
    <row r="8" spans="1:21" x14ac:dyDescent="0.15">
      <c r="A8" s="41">
        <f t="shared" si="0"/>
        <v>5</v>
      </c>
      <c r="B8" s="41">
        <v>6</v>
      </c>
      <c r="C8" s="41">
        <v>7</v>
      </c>
      <c r="D8" s="41">
        <v>3</v>
      </c>
      <c r="E8" s="87" t="s">
        <v>740</v>
      </c>
      <c r="F8" s="37" t="s">
        <v>750</v>
      </c>
      <c r="G8" s="41"/>
      <c r="H8" s="41" t="s">
        <v>712</v>
      </c>
      <c r="I8" s="37" t="s">
        <v>749</v>
      </c>
      <c r="J8" s="343">
        <v>14086</v>
      </c>
      <c r="K8" s="346"/>
      <c r="M8" s="41">
        <f t="shared" si="1"/>
        <v>5</v>
      </c>
      <c r="N8" s="41">
        <v>6</v>
      </c>
      <c r="O8" s="41">
        <v>6</v>
      </c>
      <c r="P8" s="41">
        <v>22</v>
      </c>
      <c r="Q8" s="2" t="s">
        <v>819</v>
      </c>
      <c r="R8" s="2" t="s">
        <v>241</v>
      </c>
      <c r="S8" s="350" t="s">
        <v>241</v>
      </c>
      <c r="T8" s="352" t="s">
        <v>846</v>
      </c>
      <c r="U8" s="234">
        <v>1000</v>
      </c>
    </row>
    <row r="9" spans="1:21" x14ac:dyDescent="0.15">
      <c r="A9" s="41">
        <f t="shared" si="0"/>
        <v>6</v>
      </c>
      <c r="B9" s="41">
        <v>6</v>
      </c>
      <c r="C9" s="41">
        <v>7</v>
      </c>
      <c r="D9" s="41">
        <v>3</v>
      </c>
      <c r="E9" s="87" t="s">
        <v>740</v>
      </c>
      <c r="F9" s="37" t="s">
        <v>751</v>
      </c>
      <c r="G9" s="41"/>
      <c r="H9" s="41" t="s">
        <v>712</v>
      </c>
      <c r="I9" s="37" t="s">
        <v>749</v>
      </c>
      <c r="J9" s="343">
        <v>11469</v>
      </c>
      <c r="K9" s="346"/>
      <c r="M9" s="41">
        <f t="shared" si="1"/>
        <v>6</v>
      </c>
      <c r="N9" s="41">
        <v>6</v>
      </c>
      <c r="O9" s="41">
        <v>7</v>
      </c>
      <c r="P9" s="41">
        <v>3</v>
      </c>
      <c r="Q9" s="2" t="s">
        <v>819</v>
      </c>
      <c r="R9" s="2" t="s">
        <v>825</v>
      </c>
      <c r="S9" s="350" t="s">
        <v>843</v>
      </c>
      <c r="T9" s="232" t="s">
        <v>847</v>
      </c>
      <c r="U9" s="234">
        <v>1000</v>
      </c>
    </row>
    <row r="10" spans="1:21" x14ac:dyDescent="0.15">
      <c r="A10" s="41">
        <f t="shared" si="0"/>
        <v>7</v>
      </c>
      <c r="B10" s="41">
        <v>6</v>
      </c>
      <c r="C10" s="41">
        <v>7</v>
      </c>
      <c r="D10" s="41">
        <v>3</v>
      </c>
      <c r="E10" s="87" t="s">
        <v>740</v>
      </c>
      <c r="F10" s="37" t="s">
        <v>752</v>
      </c>
      <c r="G10" s="41"/>
      <c r="H10" s="348" t="s">
        <v>233</v>
      </c>
      <c r="I10" s="37" t="s">
        <v>742</v>
      </c>
      <c r="J10" s="354">
        <v>1650</v>
      </c>
      <c r="K10" s="346">
        <f>J10</f>
        <v>1650</v>
      </c>
      <c r="M10" s="41">
        <f t="shared" si="1"/>
        <v>7</v>
      </c>
      <c r="N10" s="41">
        <v>6</v>
      </c>
      <c r="O10" s="41">
        <v>7</v>
      </c>
      <c r="P10" s="41">
        <v>3</v>
      </c>
      <c r="Q10" s="2" t="s">
        <v>819</v>
      </c>
      <c r="R10" s="2" t="s">
        <v>657</v>
      </c>
      <c r="S10" s="350" t="s">
        <v>844</v>
      </c>
      <c r="T10" s="232" t="s">
        <v>848</v>
      </c>
      <c r="U10" s="234">
        <v>1000</v>
      </c>
    </row>
    <row r="11" spans="1:21" x14ac:dyDescent="0.15">
      <c r="A11" s="41">
        <f t="shared" si="0"/>
        <v>8</v>
      </c>
      <c r="B11" s="41">
        <v>6</v>
      </c>
      <c r="C11" s="41">
        <v>7</v>
      </c>
      <c r="D11" s="41">
        <v>4</v>
      </c>
      <c r="E11" s="87" t="s">
        <v>740</v>
      </c>
      <c r="F11" s="37" t="s">
        <v>753</v>
      </c>
      <c r="G11" s="41"/>
      <c r="H11" s="41" t="s">
        <v>712</v>
      </c>
      <c r="I11" s="37" t="s">
        <v>754</v>
      </c>
      <c r="J11" s="343">
        <v>3934</v>
      </c>
      <c r="K11" s="346"/>
      <c r="M11" s="41">
        <f t="shared" si="1"/>
        <v>8</v>
      </c>
      <c r="N11" s="41">
        <v>6</v>
      </c>
      <c r="O11" s="41">
        <v>7</v>
      </c>
      <c r="P11" s="41">
        <v>4</v>
      </c>
      <c r="Q11" s="2" t="s">
        <v>833</v>
      </c>
      <c r="R11" s="2" t="s">
        <v>825</v>
      </c>
      <c r="S11" s="350" t="s">
        <v>826</v>
      </c>
      <c r="T11" s="232"/>
      <c r="U11" s="234">
        <v>1000</v>
      </c>
    </row>
    <row r="12" spans="1:21" x14ac:dyDescent="0.15">
      <c r="A12" s="41">
        <f t="shared" si="0"/>
        <v>9</v>
      </c>
      <c r="B12" s="41">
        <v>6</v>
      </c>
      <c r="C12" s="41">
        <v>7</v>
      </c>
      <c r="D12" s="41">
        <v>4</v>
      </c>
      <c r="E12" s="87" t="s">
        <v>740</v>
      </c>
      <c r="F12" s="37" t="s">
        <v>756</v>
      </c>
      <c r="G12" s="41"/>
      <c r="H12" s="348" t="s">
        <v>233</v>
      </c>
      <c r="I12" s="37" t="s">
        <v>755</v>
      </c>
      <c r="J12" s="354">
        <v>1403</v>
      </c>
      <c r="K12" s="346">
        <f>J12</f>
        <v>1403</v>
      </c>
      <c r="M12" s="41">
        <f t="shared" si="1"/>
        <v>9</v>
      </c>
      <c r="N12" s="41">
        <v>6</v>
      </c>
      <c r="O12" s="41">
        <v>7</v>
      </c>
      <c r="P12" s="41">
        <v>6</v>
      </c>
      <c r="Q12" s="2" t="s">
        <v>819</v>
      </c>
      <c r="R12" s="2" t="s">
        <v>241</v>
      </c>
      <c r="S12" s="350" t="s">
        <v>241</v>
      </c>
      <c r="T12" s="232"/>
      <c r="U12" s="234">
        <v>1000</v>
      </c>
    </row>
    <row r="13" spans="1:21" x14ac:dyDescent="0.15">
      <c r="A13" s="41">
        <f t="shared" si="0"/>
        <v>10</v>
      </c>
      <c r="B13" s="41">
        <v>6</v>
      </c>
      <c r="C13" s="41">
        <v>7</v>
      </c>
      <c r="D13" s="41">
        <v>4</v>
      </c>
      <c r="E13" s="87" t="s">
        <v>740</v>
      </c>
      <c r="F13" s="37" t="s">
        <v>757</v>
      </c>
      <c r="G13" s="41"/>
      <c r="H13" s="41" t="s">
        <v>712</v>
      </c>
      <c r="I13" s="37" t="s">
        <v>745</v>
      </c>
      <c r="J13" s="343">
        <v>19707</v>
      </c>
      <c r="K13" s="346"/>
      <c r="M13" s="41">
        <f t="shared" si="1"/>
        <v>10</v>
      </c>
      <c r="N13" s="41">
        <v>6</v>
      </c>
      <c r="O13" s="41">
        <v>7</v>
      </c>
      <c r="P13" s="41">
        <v>8</v>
      </c>
      <c r="Q13" s="2" t="s">
        <v>819</v>
      </c>
      <c r="R13" s="2" t="s">
        <v>657</v>
      </c>
      <c r="S13" s="350" t="s">
        <v>826</v>
      </c>
      <c r="T13" s="232"/>
      <c r="U13" s="234">
        <v>1000</v>
      </c>
    </row>
    <row r="14" spans="1:21" x14ac:dyDescent="0.15">
      <c r="A14" s="41">
        <f t="shared" si="0"/>
        <v>11</v>
      </c>
      <c r="B14" s="41">
        <v>6</v>
      </c>
      <c r="C14" s="41">
        <v>7</v>
      </c>
      <c r="D14" s="41">
        <v>4</v>
      </c>
      <c r="E14" s="87" t="s">
        <v>740</v>
      </c>
      <c r="F14" s="37" t="s">
        <v>758</v>
      </c>
      <c r="G14" s="41"/>
      <c r="H14" s="348" t="s">
        <v>233</v>
      </c>
      <c r="I14" s="37" t="s">
        <v>742</v>
      </c>
      <c r="J14" s="354">
        <v>660</v>
      </c>
      <c r="K14" s="346">
        <f>J14</f>
        <v>660</v>
      </c>
      <c r="M14" s="41">
        <f t="shared" si="1"/>
        <v>11</v>
      </c>
      <c r="N14" s="41">
        <v>6</v>
      </c>
      <c r="O14" s="41">
        <v>7</v>
      </c>
      <c r="P14" s="41">
        <v>9</v>
      </c>
      <c r="Q14" s="2" t="s">
        <v>831</v>
      </c>
      <c r="R14" s="2" t="s">
        <v>657</v>
      </c>
      <c r="S14" s="350" t="s">
        <v>826</v>
      </c>
      <c r="T14" s="232"/>
      <c r="U14" s="234">
        <v>1000</v>
      </c>
    </row>
    <row r="15" spans="1:21" x14ac:dyDescent="0.15">
      <c r="A15" s="41">
        <f t="shared" si="0"/>
        <v>12</v>
      </c>
      <c r="B15" s="41">
        <v>6</v>
      </c>
      <c r="C15" s="41">
        <v>7</v>
      </c>
      <c r="D15" s="41">
        <v>4</v>
      </c>
      <c r="E15" s="87" t="s">
        <v>740</v>
      </c>
      <c r="F15" s="37" t="s">
        <v>760</v>
      </c>
      <c r="G15" s="41"/>
      <c r="H15" s="41" t="s">
        <v>712</v>
      </c>
      <c r="I15" s="37" t="s">
        <v>759</v>
      </c>
      <c r="J15" s="343">
        <v>2246</v>
      </c>
      <c r="K15" s="346"/>
      <c r="M15" s="41">
        <f t="shared" si="1"/>
        <v>12</v>
      </c>
      <c r="N15" s="41">
        <v>6</v>
      </c>
      <c r="O15" s="41">
        <v>7</v>
      </c>
      <c r="P15" s="41">
        <v>12</v>
      </c>
      <c r="Q15" s="2" t="s">
        <v>822</v>
      </c>
      <c r="R15" s="2" t="s">
        <v>818</v>
      </c>
      <c r="S15" s="350" t="s">
        <v>241</v>
      </c>
      <c r="T15" s="232"/>
      <c r="U15" s="234">
        <v>1000</v>
      </c>
    </row>
    <row r="16" spans="1:21" x14ac:dyDescent="0.15">
      <c r="A16" s="41">
        <f t="shared" si="0"/>
        <v>13</v>
      </c>
      <c r="B16" s="41">
        <v>6</v>
      </c>
      <c r="C16" s="41">
        <v>7</v>
      </c>
      <c r="D16" s="41">
        <v>4</v>
      </c>
      <c r="E16" s="87" t="s">
        <v>740</v>
      </c>
      <c r="F16" s="37" t="s">
        <v>761</v>
      </c>
      <c r="G16" s="41"/>
      <c r="H16" s="41" t="s">
        <v>712</v>
      </c>
      <c r="I16" s="37" t="s">
        <v>762</v>
      </c>
      <c r="J16" s="343">
        <v>5214</v>
      </c>
      <c r="K16" s="346"/>
      <c r="M16" s="41">
        <f t="shared" si="1"/>
        <v>13</v>
      </c>
      <c r="N16" s="41">
        <v>6</v>
      </c>
      <c r="O16" s="41">
        <v>7</v>
      </c>
      <c r="P16" s="41">
        <v>16</v>
      </c>
      <c r="Q16" s="2" t="s">
        <v>823</v>
      </c>
      <c r="R16" s="2" t="s">
        <v>818</v>
      </c>
      <c r="S16" s="350" t="s">
        <v>241</v>
      </c>
      <c r="T16" s="232"/>
      <c r="U16" s="234">
        <v>1000</v>
      </c>
    </row>
    <row r="17" spans="1:21" x14ac:dyDescent="0.15">
      <c r="A17" s="41">
        <f t="shared" si="0"/>
        <v>14</v>
      </c>
      <c r="B17" s="41">
        <v>6</v>
      </c>
      <c r="C17" s="41">
        <v>7</v>
      </c>
      <c r="D17" s="41">
        <v>4</v>
      </c>
      <c r="E17" s="87" t="s">
        <v>740</v>
      </c>
      <c r="F17" s="37" t="s">
        <v>764</v>
      </c>
      <c r="G17" s="41"/>
      <c r="H17" s="41" t="s">
        <v>712</v>
      </c>
      <c r="I17" s="37" t="s">
        <v>763</v>
      </c>
      <c r="J17" s="343">
        <v>19063</v>
      </c>
      <c r="K17" s="346"/>
      <c r="M17" s="41">
        <f t="shared" si="1"/>
        <v>14</v>
      </c>
      <c r="N17" s="41">
        <v>6</v>
      </c>
      <c r="O17" s="41">
        <v>7</v>
      </c>
      <c r="P17" s="41">
        <v>19</v>
      </c>
      <c r="Q17" s="2" t="s">
        <v>831</v>
      </c>
      <c r="R17" s="2" t="s">
        <v>832</v>
      </c>
      <c r="S17" s="350" t="s">
        <v>241</v>
      </c>
      <c r="T17" s="232"/>
      <c r="U17" s="234">
        <v>1000</v>
      </c>
    </row>
    <row r="18" spans="1:21" x14ac:dyDescent="0.15">
      <c r="A18" s="41">
        <f t="shared" si="0"/>
        <v>15</v>
      </c>
      <c r="B18" s="41">
        <v>6</v>
      </c>
      <c r="C18" s="41">
        <v>7</v>
      </c>
      <c r="D18" s="41">
        <v>6</v>
      </c>
      <c r="E18" s="87" t="s">
        <v>740</v>
      </c>
      <c r="F18" s="37" t="s">
        <v>771</v>
      </c>
      <c r="G18" s="41"/>
      <c r="H18" s="41" t="s">
        <v>712</v>
      </c>
      <c r="I18" s="37" t="s">
        <v>748</v>
      </c>
      <c r="J18" s="343">
        <v>756</v>
      </c>
      <c r="K18" s="346"/>
      <c r="M18" s="41">
        <f t="shared" si="1"/>
        <v>15</v>
      </c>
      <c r="N18" s="41">
        <v>6</v>
      </c>
      <c r="O18" s="41">
        <v>7</v>
      </c>
      <c r="P18" s="41">
        <v>21</v>
      </c>
      <c r="Q18" s="2" t="s">
        <v>828</v>
      </c>
      <c r="R18" s="2" t="s">
        <v>825</v>
      </c>
      <c r="S18" s="350" t="s">
        <v>826</v>
      </c>
      <c r="T18" s="232"/>
      <c r="U18" s="234">
        <v>1000</v>
      </c>
    </row>
    <row r="19" spans="1:21" x14ac:dyDescent="0.15">
      <c r="A19" s="41">
        <f t="shared" si="0"/>
        <v>16</v>
      </c>
      <c r="B19" s="41">
        <v>6</v>
      </c>
      <c r="C19" s="41">
        <v>7</v>
      </c>
      <c r="D19" s="41">
        <v>6</v>
      </c>
      <c r="E19" s="87" t="s">
        <v>740</v>
      </c>
      <c r="F19" s="37" t="s">
        <v>772</v>
      </c>
      <c r="G19" s="41"/>
      <c r="H19" s="348" t="s">
        <v>233</v>
      </c>
      <c r="I19" s="37" t="s">
        <v>767</v>
      </c>
      <c r="J19" s="354">
        <v>12513</v>
      </c>
      <c r="K19" s="346">
        <f>J19</f>
        <v>12513</v>
      </c>
      <c r="M19" s="41">
        <f t="shared" si="1"/>
        <v>16</v>
      </c>
      <c r="N19" s="41">
        <v>6</v>
      </c>
      <c r="O19" s="41">
        <v>7</v>
      </c>
      <c r="P19" s="41">
        <v>26</v>
      </c>
      <c r="Q19" s="2" t="s">
        <v>824</v>
      </c>
      <c r="R19" s="2" t="s">
        <v>818</v>
      </c>
      <c r="S19" s="350" t="s">
        <v>241</v>
      </c>
      <c r="T19" s="232"/>
      <c r="U19" s="234">
        <v>1000</v>
      </c>
    </row>
    <row r="20" spans="1:21" x14ac:dyDescent="0.15">
      <c r="A20" s="41">
        <f t="shared" si="0"/>
        <v>17</v>
      </c>
      <c r="B20" s="41">
        <v>6</v>
      </c>
      <c r="C20" s="41">
        <v>7</v>
      </c>
      <c r="D20" s="41">
        <v>8</v>
      </c>
      <c r="E20" s="87" t="s">
        <v>740</v>
      </c>
      <c r="F20" s="37" t="s">
        <v>765</v>
      </c>
      <c r="G20" s="41"/>
      <c r="H20" s="348" t="s">
        <v>233</v>
      </c>
      <c r="I20" s="37" t="s">
        <v>766</v>
      </c>
      <c r="J20" s="354">
        <v>2310</v>
      </c>
      <c r="K20" s="346">
        <f>J20</f>
        <v>2310</v>
      </c>
      <c r="M20" s="332"/>
      <c r="N20" s="332"/>
      <c r="O20" s="332"/>
      <c r="P20" s="332"/>
      <c r="Q20" s="333"/>
      <c r="R20" s="333"/>
      <c r="S20" s="333"/>
    </row>
    <row r="21" spans="1:21" x14ac:dyDescent="0.15">
      <c r="A21" s="41">
        <f t="shared" si="0"/>
        <v>18</v>
      </c>
      <c r="B21" s="41">
        <v>6</v>
      </c>
      <c r="C21" s="41">
        <v>7</v>
      </c>
      <c r="D21" s="41">
        <v>8</v>
      </c>
      <c r="E21" s="87" t="s">
        <v>740</v>
      </c>
      <c r="F21" s="37" t="s">
        <v>768</v>
      </c>
      <c r="G21" s="41"/>
      <c r="H21" s="348" t="s">
        <v>233</v>
      </c>
      <c r="I21" s="37" t="s">
        <v>767</v>
      </c>
      <c r="J21" s="354">
        <v>1315</v>
      </c>
      <c r="K21" s="346">
        <f>J21</f>
        <v>1315</v>
      </c>
      <c r="M21" s="334"/>
      <c r="N21" s="334"/>
      <c r="O21" s="334"/>
      <c r="P21" s="334"/>
      <c r="U21" s="144">
        <f>SUM(U4:U19)</f>
        <v>16000</v>
      </c>
    </row>
    <row r="22" spans="1:21" x14ac:dyDescent="0.15">
      <c r="A22" s="41">
        <f t="shared" si="0"/>
        <v>19</v>
      </c>
      <c r="B22" s="41">
        <v>6</v>
      </c>
      <c r="C22" s="41">
        <v>7</v>
      </c>
      <c r="D22" s="41">
        <v>8</v>
      </c>
      <c r="E22" s="87" t="s">
        <v>740</v>
      </c>
      <c r="F22" s="37" t="s">
        <v>769</v>
      </c>
      <c r="G22" s="41"/>
      <c r="H22" s="41" t="s">
        <v>712</v>
      </c>
      <c r="I22" s="37" t="s">
        <v>767</v>
      </c>
      <c r="J22" s="343">
        <v>20405</v>
      </c>
      <c r="K22" s="346"/>
      <c r="M22" s="334"/>
      <c r="N22" s="334"/>
      <c r="O22" s="334"/>
      <c r="P22" s="334"/>
    </row>
    <row r="23" spans="1:21" x14ac:dyDescent="0.15">
      <c r="A23" s="41">
        <f t="shared" si="0"/>
        <v>20</v>
      </c>
      <c r="B23" s="41">
        <v>6</v>
      </c>
      <c r="C23" s="41">
        <v>7</v>
      </c>
      <c r="D23" s="41">
        <v>8</v>
      </c>
      <c r="E23" s="87" t="s">
        <v>740</v>
      </c>
      <c r="F23" s="37" t="s">
        <v>839</v>
      </c>
      <c r="G23" s="41"/>
      <c r="H23" s="348" t="s">
        <v>233</v>
      </c>
      <c r="I23" s="37" t="s">
        <v>162</v>
      </c>
      <c r="J23" s="354">
        <v>498</v>
      </c>
      <c r="K23" s="346">
        <f t="shared" ref="K23:K24" si="2">J23</f>
        <v>498</v>
      </c>
      <c r="M23" s="334"/>
      <c r="N23" s="334"/>
      <c r="O23" s="334"/>
      <c r="P23" s="334"/>
    </row>
    <row r="24" spans="1:21" x14ac:dyDescent="0.15">
      <c r="A24" s="41">
        <f t="shared" si="0"/>
        <v>21</v>
      </c>
      <c r="B24" s="41">
        <v>6</v>
      </c>
      <c r="C24" s="41">
        <v>7</v>
      </c>
      <c r="D24" s="41">
        <v>8</v>
      </c>
      <c r="E24" s="87" t="s">
        <v>740</v>
      </c>
      <c r="F24" s="37" t="s">
        <v>770</v>
      </c>
      <c r="G24" s="41"/>
      <c r="H24" s="348" t="s">
        <v>233</v>
      </c>
      <c r="I24" s="37" t="s">
        <v>162</v>
      </c>
      <c r="J24" s="354">
        <v>3009</v>
      </c>
      <c r="K24" s="346">
        <f t="shared" si="2"/>
        <v>3009</v>
      </c>
      <c r="M24" s="334"/>
      <c r="N24" s="334"/>
      <c r="O24" s="334"/>
      <c r="P24" s="334"/>
    </row>
    <row r="25" spans="1:21" x14ac:dyDescent="0.15">
      <c r="A25" s="41">
        <f t="shared" si="0"/>
        <v>22</v>
      </c>
      <c r="B25" s="41">
        <v>6</v>
      </c>
      <c r="C25" s="41">
        <v>7</v>
      </c>
      <c r="D25" s="41">
        <v>9</v>
      </c>
      <c r="E25" s="87" t="s">
        <v>740</v>
      </c>
      <c r="F25" s="37" t="s">
        <v>773</v>
      </c>
      <c r="G25" s="41"/>
      <c r="H25" s="41" t="s">
        <v>712</v>
      </c>
      <c r="I25" s="37" t="s">
        <v>767</v>
      </c>
      <c r="J25" s="343">
        <v>6039</v>
      </c>
      <c r="K25" s="346"/>
      <c r="M25" s="334"/>
      <c r="N25" s="334"/>
      <c r="O25" s="334"/>
      <c r="P25" s="334"/>
    </row>
    <row r="26" spans="1:21" x14ac:dyDescent="0.15">
      <c r="A26" s="41">
        <f t="shared" si="0"/>
        <v>23</v>
      </c>
      <c r="B26" s="41">
        <v>6</v>
      </c>
      <c r="C26" s="41">
        <v>7</v>
      </c>
      <c r="D26" s="41">
        <v>12</v>
      </c>
      <c r="E26" s="87" t="s">
        <v>740</v>
      </c>
      <c r="F26" s="37" t="s">
        <v>775</v>
      </c>
      <c r="G26" s="41"/>
      <c r="H26" s="41" t="s">
        <v>712</v>
      </c>
      <c r="I26" s="37" t="s">
        <v>774</v>
      </c>
      <c r="J26" s="343">
        <v>4235</v>
      </c>
      <c r="K26" s="346"/>
      <c r="M26" s="334"/>
      <c r="N26" s="334"/>
      <c r="O26" s="334"/>
      <c r="P26" s="334"/>
    </row>
    <row r="27" spans="1:21" x14ac:dyDescent="0.15">
      <c r="A27" s="41">
        <f t="shared" si="0"/>
        <v>24</v>
      </c>
      <c r="B27" s="41">
        <v>6</v>
      </c>
      <c r="C27" s="41">
        <v>7</v>
      </c>
      <c r="D27" s="41">
        <v>12</v>
      </c>
      <c r="E27" s="87" t="s">
        <v>740</v>
      </c>
      <c r="F27" s="37" t="s">
        <v>776</v>
      </c>
      <c r="G27" s="41"/>
      <c r="H27" s="41" t="s">
        <v>712</v>
      </c>
      <c r="I27" s="37" t="s">
        <v>777</v>
      </c>
      <c r="J27" s="343">
        <v>2332</v>
      </c>
      <c r="K27" s="346"/>
      <c r="M27" s="334"/>
      <c r="N27" s="334"/>
      <c r="O27" s="334"/>
      <c r="P27" s="334"/>
    </row>
    <row r="28" spans="1:21" x14ac:dyDescent="0.15">
      <c r="A28" s="41">
        <f t="shared" si="0"/>
        <v>25</v>
      </c>
      <c r="B28" s="41">
        <v>6</v>
      </c>
      <c r="C28" s="41">
        <v>7</v>
      </c>
      <c r="D28" s="41">
        <v>12</v>
      </c>
      <c r="E28" s="87" t="s">
        <v>740</v>
      </c>
      <c r="F28" s="37" t="s">
        <v>788</v>
      </c>
      <c r="G28" s="41"/>
      <c r="H28" s="348" t="s">
        <v>233</v>
      </c>
      <c r="I28" s="37" t="s">
        <v>787</v>
      </c>
      <c r="J28" s="354">
        <v>880</v>
      </c>
      <c r="K28" s="346">
        <f>J28</f>
        <v>880</v>
      </c>
      <c r="M28" s="334"/>
      <c r="N28" s="334"/>
      <c r="O28" s="334"/>
      <c r="P28" s="334"/>
    </row>
    <row r="29" spans="1:21" x14ac:dyDescent="0.15">
      <c r="A29" s="41">
        <f t="shared" si="0"/>
        <v>26</v>
      </c>
      <c r="B29" s="41">
        <v>6</v>
      </c>
      <c r="C29" s="41">
        <v>7</v>
      </c>
      <c r="D29" s="41">
        <v>12</v>
      </c>
      <c r="E29" s="87" t="s">
        <v>740</v>
      </c>
      <c r="F29" s="37" t="s">
        <v>778</v>
      </c>
      <c r="G29" s="41"/>
      <c r="H29" s="348" t="s">
        <v>233</v>
      </c>
      <c r="I29" s="37" t="s">
        <v>779</v>
      </c>
      <c r="J29" s="354">
        <v>1210</v>
      </c>
      <c r="K29" s="346">
        <f>J29</f>
        <v>1210</v>
      </c>
      <c r="M29" s="334"/>
      <c r="N29" s="334"/>
      <c r="O29" s="334"/>
      <c r="P29" s="334"/>
    </row>
    <row r="30" spans="1:21" x14ac:dyDescent="0.15">
      <c r="A30" s="41">
        <f t="shared" si="0"/>
        <v>27</v>
      </c>
      <c r="B30" s="41">
        <v>6</v>
      </c>
      <c r="C30" s="41">
        <v>7</v>
      </c>
      <c r="D30" s="41">
        <v>12</v>
      </c>
      <c r="E30" s="87" t="s">
        <v>740</v>
      </c>
      <c r="F30" s="37" t="s">
        <v>782</v>
      </c>
      <c r="G30" s="41"/>
      <c r="H30" s="348" t="s">
        <v>233</v>
      </c>
      <c r="I30" s="37" t="s">
        <v>781</v>
      </c>
      <c r="J30" s="354">
        <v>1760</v>
      </c>
      <c r="K30" s="346">
        <f>J30</f>
        <v>1760</v>
      </c>
      <c r="M30" s="334"/>
      <c r="N30" s="334"/>
      <c r="O30" s="334"/>
      <c r="P30" s="334"/>
    </row>
    <row r="31" spans="1:21" x14ac:dyDescent="0.15">
      <c r="A31" s="41">
        <f t="shared" si="0"/>
        <v>28</v>
      </c>
      <c r="B31" s="41">
        <v>6</v>
      </c>
      <c r="C31" s="41">
        <v>7</v>
      </c>
      <c r="D31" s="41">
        <v>12</v>
      </c>
      <c r="E31" s="87" t="s">
        <v>740</v>
      </c>
      <c r="F31" s="37" t="s">
        <v>780</v>
      </c>
      <c r="G31" s="41"/>
      <c r="H31" s="41" t="s">
        <v>712</v>
      </c>
      <c r="I31" s="37" t="s">
        <v>749</v>
      </c>
      <c r="J31" s="343">
        <v>4930</v>
      </c>
      <c r="K31" s="346"/>
      <c r="M31" s="334"/>
      <c r="N31" s="334"/>
      <c r="O31" s="334"/>
      <c r="P31" s="334"/>
    </row>
    <row r="32" spans="1:21" x14ac:dyDescent="0.15">
      <c r="A32" s="41">
        <f t="shared" si="0"/>
        <v>29</v>
      </c>
      <c r="B32" s="41">
        <v>6</v>
      </c>
      <c r="C32" s="41">
        <v>7</v>
      </c>
      <c r="D32" s="41">
        <v>12</v>
      </c>
      <c r="E32" s="87" t="s">
        <v>740</v>
      </c>
      <c r="F32" s="37" t="s">
        <v>775</v>
      </c>
      <c r="G32" s="41"/>
      <c r="H32" s="41" t="s">
        <v>712</v>
      </c>
      <c r="I32" s="37" t="s">
        <v>783</v>
      </c>
      <c r="J32" s="343">
        <v>2041</v>
      </c>
      <c r="K32" s="346"/>
      <c r="M32" s="334"/>
      <c r="N32" s="334"/>
      <c r="O32" s="334"/>
      <c r="P32" s="334"/>
    </row>
    <row r="33" spans="1:16" x14ac:dyDescent="0.15">
      <c r="A33" s="41">
        <f t="shared" si="0"/>
        <v>30</v>
      </c>
      <c r="B33" s="41">
        <v>6</v>
      </c>
      <c r="C33" s="41">
        <v>7</v>
      </c>
      <c r="D33" s="41">
        <v>12</v>
      </c>
      <c r="E33" s="87" t="s">
        <v>740</v>
      </c>
      <c r="F33" s="37" t="s">
        <v>784</v>
      </c>
      <c r="G33" s="41"/>
      <c r="H33" s="41" t="s">
        <v>712</v>
      </c>
      <c r="I33" s="37" t="s">
        <v>748</v>
      </c>
      <c r="J33" s="343">
        <v>3302</v>
      </c>
      <c r="K33" s="346"/>
      <c r="M33" s="334"/>
      <c r="N33" s="334"/>
      <c r="O33" s="334"/>
      <c r="P33" s="334"/>
    </row>
    <row r="34" spans="1:16" x14ac:dyDescent="0.15">
      <c r="A34" s="41">
        <f t="shared" si="0"/>
        <v>31</v>
      </c>
      <c r="B34" s="41">
        <v>6</v>
      </c>
      <c r="C34" s="41">
        <v>7</v>
      </c>
      <c r="D34" s="41">
        <v>12</v>
      </c>
      <c r="E34" s="87" t="s">
        <v>740</v>
      </c>
      <c r="F34" s="37" t="s">
        <v>785</v>
      </c>
      <c r="G34" s="41"/>
      <c r="H34" s="41" t="s">
        <v>712</v>
      </c>
      <c r="I34" s="37" t="s">
        <v>767</v>
      </c>
      <c r="J34" s="343">
        <v>278</v>
      </c>
      <c r="K34" s="346"/>
      <c r="M34" s="334"/>
      <c r="N34" s="334"/>
      <c r="O34" s="334"/>
      <c r="P34" s="334"/>
    </row>
    <row r="35" spans="1:16" x14ac:dyDescent="0.15">
      <c r="A35" s="41">
        <f t="shared" si="0"/>
        <v>32</v>
      </c>
      <c r="B35" s="41">
        <v>6</v>
      </c>
      <c r="C35" s="41">
        <v>7</v>
      </c>
      <c r="D35" s="41">
        <v>12</v>
      </c>
      <c r="E35" s="87" t="s">
        <v>740</v>
      </c>
      <c r="F35" s="37" t="s">
        <v>786</v>
      </c>
      <c r="G35" s="41"/>
      <c r="H35" s="348" t="s">
        <v>233</v>
      </c>
      <c r="I35" s="37" t="s">
        <v>767</v>
      </c>
      <c r="J35" s="354">
        <v>2783</v>
      </c>
      <c r="K35" s="346">
        <f t="shared" ref="K35:K37" si="3">J35</f>
        <v>2783</v>
      </c>
      <c r="M35" s="334"/>
      <c r="N35" s="334"/>
      <c r="O35" s="334"/>
      <c r="P35" s="334"/>
    </row>
    <row r="36" spans="1:16" x14ac:dyDescent="0.15">
      <c r="A36" s="41">
        <f t="shared" si="0"/>
        <v>33</v>
      </c>
      <c r="B36" s="41">
        <v>6</v>
      </c>
      <c r="C36" s="41">
        <v>7</v>
      </c>
      <c r="D36" s="41">
        <v>16</v>
      </c>
      <c r="E36" s="87" t="s">
        <v>740</v>
      </c>
      <c r="F36" s="37" t="s">
        <v>790</v>
      </c>
      <c r="G36" s="41"/>
      <c r="H36" s="348" t="s">
        <v>233</v>
      </c>
      <c r="I36" s="37" t="s">
        <v>743</v>
      </c>
      <c r="J36" s="354">
        <v>660</v>
      </c>
      <c r="K36" s="346">
        <f t="shared" si="3"/>
        <v>660</v>
      </c>
      <c r="M36" s="334"/>
      <c r="N36" s="334"/>
      <c r="O36" s="334"/>
      <c r="P36" s="334"/>
    </row>
    <row r="37" spans="1:16" x14ac:dyDescent="0.15">
      <c r="A37" s="41">
        <f t="shared" si="0"/>
        <v>34</v>
      </c>
      <c r="B37" s="41">
        <v>6</v>
      </c>
      <c r="C37" s="41">
        <v>7</v>
      </c>
      <c r="D37" s="41">
        <v>16</v>
      </c>
      <c r="E37" s="87" t="s">
        <v>740</v>
      </c>
      <c r="F37" s="37" t="s">
        <v>791</v>
      </c>
      <c r="G37" s="41"/>
      <c r="H37" s="348" t="s">
        <v>233</v>
      </c>
      <c r="I37" s="37" t="s">
        <v>789</v>
      </c>
      <c r="J37" s="354">
        <v>990</v>
      </c>
      <c r="K37" s="346">
        <f t="shared" si="3"/>
        <v>990</v>
      </c>
      <c r="M37" s="334"/>
      <c r="N37" s="334"/>
      <c r="O37" s="334"/>
      <c r="P37" s="334"/>
    </row>
    <row r="38" spans="1:16" x14ac:dyDescent="0.15">
      <c r="A38" s="41">
        <f t="shared" si="0"/>
        <v>35</v>
      </c>
      <c r="B38" s="41">
        <v>6</v>
      </c>
      <c r="C38" s="41">
        <v>7</v>
      </c>
      <c r="D38" s="41">
        <v>16</v>
      </c>
      <c r="E38" s="87" t="s">
        <v>740</v>
      </c>
      <c r="F38" s="37" t="s">
        <v>792</v>
      </c>
      <c r="G38" s="41"/>
      <c r="H38" s="41" t="s">
        <v>712</v>
      </c>
      <c r="I38" s="37" t="s">
        <v>749</v>
      </c>
      <c r="J38" s="343">
        <v>592</v>
      </c>
      <c r="K38" s="346"/>
      <c r="M38" s="334"/>
      <c r="N38" s="334"/>
      <c r="O38" s="334"/>
      <c r="P38" s="334"/>
    </row>
    <row r="39" spans="1:16" x14ac:dyDescent="0.15">
      <c r="A39" s="41">
        <f t="shared" si="0"/>
        <v>36</v>
      </c>
      <c r="B39" s="41">
        <v>6</v>
      </c>
      <c r="C39" s="41">
        <v>7</v>
      </c>
      <c r="D39" s="41">
        <v>16</v>
      </c>
      <c r="E39" s="87" t="s">
        <v>740</v>
      </c>
      <c r="F39" s="37" t="s">
        <v>793</v>
      </c>
      <c r="G39" s="41"/>
      <c r="H39" s="41" t="s">
        <v>712</v>
      </c>
      <c r="I39" s="331" t="s">
        <v>146</v>
      </c>
      <c r="J39" s="343">
        <v>82800</v>
      </c>
      <c r="K39" s="346"/>
      <c r="M39" s="334"/>
      <c r="N39" s="334"/>
      <c r="O39" s="334"/>
      <c r="P39" s="334"/>
    </row>
    <row r="40" spans="1:16" x14ac:dyDescent="0.15">
      <c r="A40" s="41">
        <f t="shared" si="0"/>
        <v>37</v>
      </c>
      <c r="B40" s="41">
        <v>6</v>
      </c>
      <c r="C40" s="41">
        <v>7</v>
      </c>
      <c r="D40" s="41">
        <v>16</v>
      </c>
      <c r="E40" s="87" t="s">
        <v>740</v>
      </c>
      <c r="F40" s="37" t="s">
        <v>794</v>
      </c>
      <c r="G40" s="41"/>
      <c r="H40" s="41" t="s">
        <v>712</v>
      </c>
      <c r="I40" s="331" t="s">
        <v>146</v>
      </c>
      <c r="J40" s="343">
        <v>11700</v>
      </c>
      <c r="K40" s="346"/>
      <c r="M40" s="334"/>
      <c r="N40" s="334"/>
      <c r="O40" s="334"/>
      <c r="P40" s="334"/>
    </row>
    <row r="41" spans="1:16" x14ac:dyDescent="0.15">
      <c r="A41" s="41">
        <f t="shared" si="0"/>
        <v>38</v>
      </c>
      <c r="B41" s="41">
        <v>6</v>
      </c>
      <c r="C41" s="41">
        <v>7</v>
      </c>
      <c r="D41" s="41">
        <v>16</v>
      </c>
      <c r="E41" s="87" t="s">
        <v>740</v>
      </c>
      <c r="F41" s="37" t="s">
        <v>795</v>
      </c>
      <c r="G41" s="41"/>
      <c r="H41" s="348" t="s">
        <v>233</v>
      </c>
      <c r="I41" s="37" t="s">
        <v>781</v>
      </c>
      <c r="J41" s="354">
        <v>3080</v>
      </c>
      <c r="K41" s="346">
        <f>J41</f>
        <v>3080</v>
      </c>
      <c r="M41" s="334"/>
      <c r="N41" s="334"/>
      <c r="O41" s="334"/>
      <c r="P41" s="334"/>
    </row>
    <row r="42" spans="1:16" x14ac:dyDescent="0.15">
      <c r="A42" s="41">
        <f t="shared" si="0"/>
        <v>39</v>
      </c>
      <c r="B42" s="41">
        <v>6</v>
      </c>
      <c r="C42" s="41">
        <v>7</v>
      </c>
      <c r="D42" s="41">
        <v>18</v>
      </c>
      <c r="E42" s="87" t="s">
        <v>740</v>
      </c>
      <c r="F42" s="37" t="s">
        <v>796</v>
      </c>
      <c r="G42" s="41"/>
      <c r="H42" s="41" t="s">
        <v>712</v>
      </c>
      <c r="I42" s="37" t="s">
        <v>797</v>
      </c>
      <c r="J42" s="343">
        <v>380</v>
      </c>
      <c r="K42" s="346"/>
      <c r="M42" s="334"/>
      <c r="N42" s="334"/>
      <c r="O42" s="334"/>
      <c r="P42" s="334"/>
    </row>
    <row r="43" spans="1:16" x14ac:dyDescent="0.15">
      <c r="A43" s="41">
        <f t="shared" si="0"/>
        <v>40</v>
      </c>
      <c r="B43" s="41">
        <v>6</v>
      </c>
      <c r="C43" s="41">
        <v>7</v>
      </c>
      <c r="D43" s="41">
        <v>19</v>
      </c>
      <c r="E43" s="87" t="s">
        <v>740</v>
      </c>
      <c r="F43" s="37" t="s">
        <v>798</v>
      </c>
      <c r="G43" s="41"/>
      <c r="H43" s="41" t="s">
        <v>712</v>
      </c>
      <c r="I43" s="37" t="s">
        <v>51</v>
      </c>
      <c r="J43" s="343">
        <v>2800</v>
      </c>
      <c r="K43" s="346"/>
      <c r="M43" s="334"/>
      <c r="N43" s="334"/>
      <c r="O43" s="334"/>
      <c r="P43" s="334"/>
    </row>
    <row r="44" spans="1:16" x14ac:dyDescent="0.15">
      <c r="A44" s="41">
        <f t="shared" si="0"/>
        <v>41</v>
      </c>
      <c r="B44" s="41">
        <v>6</v>
      </c>
      <c r="C44" s="41">
        <v>7</v>
      </c>
      <c r="D44" s="41">
        <v>19</v>
      </c>
      <c r="E44" s="87" t="s">
        <v>740</v>
      </c>
      <c r="F44" s="37" t="s">
        <v>799</v>
      </c>
      <c r="G44" s="41"/>
      <c r="H44" s="348" t="s">
        <v>233</v>
      </c>
      <c r="I44" s="37" t="s">
        <v>767</v>
      </c>
      <c r="J44" s="354">
        <v>1509</v>
      </c>
      <c r="K44" s="346">
        <f>J44</f>
        <v>1509</v>
      </c>
      <c r="M44" s="334"/>
      <c r="N44" s="334"/>
      <c r="O44" s="334"/>
      <c r="P44" s="334"/>
    </row>
    <row r="45" spans="1:16" x14ac:dyDescent="0.15">
      <c r="A45" s="41">
        <f t="shared" si="0"/>
        <v>42</v>
      </c>
      <c r="B45" s="41">
        <v>6</v>
      </c>
      <c r="C45" s="41">
        <v>7</v>
      </c>
      <c r="D45" s="41">
        <v>19</v>
      </c>
      <c r="E45" s="87" t="s">
        <v>740</v>
      </c>
      <c r="F45" s="37" t="s">
        <v>800</v>
      </c>
      <c r="G45" s="41"/>
      <c r="H45" s="41" t="s">
        <v>712</v>
      </c>
      <c r="I45" s="37" t="s">
        <v>767</v>
      </c>
      <c r="J45" s="343">
        <v>5780</v>
      </c>
      <c r="K45" s="346"/>
      <c r="M45" s="334"/>
      <c r="N45" s="334"/>
      <c r="O45" s="334"/>
      <c r="P45" s="334"/>
    </row>
    <row r="46" spans="1:16" x14ac:dyDescent="0.15">
      <c r="A46" s="41">
        <f t="shared" si="0"/>
        <v>43</v>
      </c>
      <c r="B46" s="41">
        <v>6</v>
      </c>
      <c r="C46" s="41">
        <v>7</v>
      </c>
      <c r="D46" s="41">
        <v>20</v>
      </c>
      <c r="E46" s="87" t="s">
        <v>740</v>
      </c>
      <c r="F46" s="37" t="s">
        <v>801</v>
      </c>
      <c r="G46" s="41"/>
      <c r="H46" s="41" t="s">
        <v>712</v>
      </c>
      <c r="I46" s="37" t="s">
        <v>802</v>
      </c>
      <c r="J46" s="343">
        <v>18014</v>
      </c>
      <c r="K46" s="346"/>
      <c r="M46" s="334"/>
      <c r="N46" s="334"/>
      <c r="O46" s="334"/>
      <c r="P46" s="334"/>
    </row>
    <row r="47" spans="1:16" x14ac:dyDescent="0.15">
      <c r="A47" s="41">
        <f t="shared" si="0"/>
        <v>44</v>
      </c>
      <c r="B47" s="41">
        <v>6</v>
      </c>
      <c r="C47" s="41">
        <v>7</v>
      </c>
      <c r="D47" s="41">
        <v>20</v>
      </c>
      <c r="E47" s="87" t="s">
        <v>740</v>
      </c>
      <c r="F47" s="37" t="s">
        <v>803</v>
      </c>
      <c r="G47" s="41"/>
      <c r="H47" s="41" t="s">
        <v>712</v>
      </c>
      <c r="I47" s="37" t="s">
        <v>134</v>
      </c>
      <c r="J47" s="343">
        <v>1400</v>
      </c>
      <c r="K47" s="346"/>
      <c r="M47" s="334"/>
      <c r="N47" s="334"/>
      <c r="O47" s="334"/>
      <c r="P47" s="334"/>
    </row>
    <row r="48" spans="1:16" x14ac:dyDescent="0.15">
      <c r="A48" s="41">
        <f t="shared" si="0"/>
        <v>45</v>
      </c>
      <c r="B48" s="41">
        <v>6</v>
      </c>
      <c r="C48" s="41">
        <v>7</v>
      </c>
      <c r="D48" s="41">
        <v>21</v>
      </c>
      <c r="E48" s="87" t="s">
        <v>740</v>
      </c>
      <c r="F48" s="37" t="s">
        <v>829</v>
      </c>
      <c r="G48" s="41"/>
      <c r="H48" s="41" t="s">
        <v>712</v>
      </c>
      <c r="I48" s="37" t="s">
        <v>804</v>
      </c>
      <c r="J48" s="343">
        <v>4000</v>
      </c>
      <c r="K48" s="346"/>
      <c r="M48" s="334"/>
      <c r="N48" s="334"/>
      <c r="O48" s="334"/>
      <c r="P48" s="334"/>
    </row>
    <row r="49" spans="1:16" x14ac:dyDescent="0.15">
      <c r="A49" s="41">
        <f t="shared" si="0"/>
        <v>46</v>
      </c>
      <c r="B49" s="41">
        <v>6</v>
      </c>
      <c r="C49" s="41">
        <v>7</v>
      </c>
      <c r="D49" s="41">
        <v>21</v>
      </c>
      <c r="E49" s="87" t="s">
        <v>740</v>
      </c>
      <c r="F49" s="37" t="s">
        <v>805</v>
      </c>
      <c r="G49" s="41"/>
      <c r="H49" s="348" t="s">
        <v>233</v>
      </c>
      <c r="I49" s="37" t="s">
        <v>162</v>
      </c>
      <c r="J49" s="354">
        <v>2476</v>
      </c>
      <c r="K49" s="346">
        <f>J49</f>
        <v>2476</v>
      </c>
      <c r="M49" s="334"/>
      <c r="N49" s="334"/>
      <c r="O49" s="334"/>
      <c r="P49" s="334"/>
    </row>
    <row r="50" spans="1:16" x14ac:dyDescent="0.15">
      <c r="A50" s="41">
        <f t="shared" si="0"/>
        <v>47</v>
      </c>
      <c r="B50" s="41">
        <v>6</v>
      </c>
      <c r="C50" s="41">
        <v>7</v>
      </c>
      <c r="D50" s="41">
        <v>21</v>
      </c>
      <c r="E50" s="87" t="s">
        <v>740</v>
      </c>
      <c r="F50" s="37" t="s">
        <v>806</v>
      </c>
      <c r="G50" s="41"/>
      <c r="H50" s="41" t="s">
        <v>712</v>
      </c>
      <c r="I50" s="37" t="s">
        <v>767</v>
      </c>
      <c r="J50" s="343">
        <v>4619</v>
      </c>
      <c r="K50" s="346"/>
      <c r="M50" s="334"/>
      <c r="N50" s="334"/>
      <c r="O50" s="334"/>
      <c r="P50" s="334"/>
    </row>
    <row r="51" spans="1:16" x14ac:dyDescent="0.15">
      <c r="A51" s="41">
        <f t="shared" si="0"/>
        <v>48</v>
      </c>
      <c r="B51" s="41">
        <v>6</v>
      </c>
      <c r="C51" s="41">
        <v>7</v>
      </c>
      <c r="D51" s="41">
        <v>21</v>
      </c>
      <c r="E51" s="87" t="s">
        <v>740</v>
      </c>
      <c r="F51" s="37" t="s">
        <v>807</v>
      </c>
      <c r="G51" s="41"/>
      <c r="H51" s="41" t="s">
        <v>712</v>
      </c>
      <c r="I51" s="37" t="s">
        <v>808</v>
      </c>
      <c r="J51" s="343">
        <v>311</v>
      </c>
      <c r="K51" s="346"/>
      <c r="M51" s="334"/>
      <c r="N51" s="334"/>
      <c r="O51" s="334"/>
      <c r="P51" s="334"/>
    </row>
    <row r="52" spans="1:16" x14ac:dyDescent="0.15">
      <c r="A52" s="41">
        <f t="shared" si="0"/>
        <v>49</v>
      </c>
      <c r="B52" s="41">
        <v>6</v>
      </c>
      <c r="C52" s="41">
        <v>7</v>
      </c>
      <c r="D52" s="41">
        <v>26</v>
      </c>
      <c r="E52" s="87" t="s">
        <v>740</v>
      </c>
      <c r="F52" s="37" t="s">
        <v>840</v>
      </c>
      <c r="G52" s="41"/>
      <c r="H52" s="348" t="s">
        <v>233</v>
      </c>
      <c r="I52" s="37" t="s">
        <v>809</v>
      </c>
      <c r="J52" s="354">
        <v>745</v>
      </c>
      <c r="K52" s="346">
        <f t="shared" ref="K52:K54" si="4">J52</f>
        <v>745</v>
      </c>
      <c r="M52" s="334"/>
      <c r="N52" s="334"/>
      <c r="O52" s="334"/>
      <c r="P52" s="334"/>
    </row>
    <row r="53" spans="1:16" x14ac:dyDescent="0.15">
      <c r="A53" s="41">
        <f t="shared" si="0"/>
        <v>50</v>
      </c>
      <c r="B53" s="41">
        <v>6</v>
      </c>
      <c r="C53" s="41">
        <v>7</v>
      </c>
      <c r="D53" s="41">
        <v>26</v>
      </c>
      <c r="E53" s="87" t="s">
        <v>740</v>
      </c>
      <c r="F53" s="37" t="s">
        <v>811</v>
      </c>
      <c r="G53" s="41"/>
      <c r="H53" s="348" t="s">
        <v>233</v>
      </c>
      <c r="I53" s="37" t="s">
        <v>810</v>
      </c>
      <c r="J53" s="354">
        <v>875</v>
      </c>
      <c r="K53" s="346">
        <f t="shared" si="4"/>
        <v>875</v>
      </c>
      <c r="M53" s="334"/>
      <c r="N53" s="334"/>
      <c r="O53" s="334"/>
      <c r="P53" s="334"/>
    </row>
    <row r="54" spans="1:16" x14ac:dyDescent="0.15">
      <c r="A54" s="41">
        <f t="shared" si="0"/>
        <v>51</v>
      </c>
      <c r="B54" s="41">
        <v>6</v>
      </c>
      <c r="C54" s="41">
        <v>7</v>
      </c>
      <c r="D54" s="41">
        <v>22</v>
      </c>
      <c r="E54" s="87" t="s">
        <v>740</v>
      </c>
      <c r="F54" s="37" t="s">
        <v>813</v>
      </c>
      <c r="G54" s="41"/>
      <c r="H54" s="348" t="s">
        <v>233</v>
      </c>
      <c r="I54" s="37" t="s">
        <v>812</v>
      </c>
      <c r="J54" s="354">
        <v>2200</v>
      </c>
      <c r="K54" s="346">
        <f t="shared" si="4"/>
        <v>2200</v>
      </c>
      <c r="M54" s="334"/>
      <c r="N54" s="334"/>
      <c r="O54" s="334"/>
      <c r="P54" s="334"/>
    </row>
    <row r="55" spans="1:16" x14ac:dyDescent="0.15">
      <c r="I55" s="154" t="s">
        <v>45</v>
      </c>
      <c r="J55" s="144" t="s">
        <v>835</v>
      </c>
      <c r="K55" s="144" t="s">
        <v>836</v>
      </c>
    </row>
    <row r="56" spans="1:16" x14ac:dyDescent="0.15">
      <c r="I56" s="144">
        <v>350000</v>
      </c>
      <c r="J56" s="144">
        <f>SUM(J4:J54)</f>
        <v>334470</v>
      </c>
      <c r="K56" s="144">
        <f>I56-J56</f>
        <v>15530</v>
      </c>
    </row>
    <row r="58" spans="1:16" x14ac:dyDescent="0.15">
      <c r="J58" s="355" t="s">
        <v>850</v>
      </c>
      <c r="K58" s="144" t="s">
        <v>851</v>
      </c>
    </row>
    <row r="59" spans="1:16" x14ac:dyDescent="0.15">
      <c r="I59" s="154" t="s">
        <v>921</v>
      </c>
      <c r="J59" s="144">
        <f>J56-K59</f>
        <v>286664</v>
      </c>
      <c r="K59" s="353">
        <f>SUM(K5:K54)</f>
        <v>47806</v>
      </c>
    </row>
  </sheetData>
  <phoneticPr fontId="2"/>
  <pageMargins left="1" right="1" top="1" bottom="1" header="0.5" footer="0.5"/>
  <pageSetup paperSize="8" fitToWidth="0" orientation="portrait" r:id="rId1"/>
  <colBreaks count="1" manualBreakCount="1">
    <brk id="11" max="1048575" man="1"/>
  </colBreak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6F46753-2A07-44D3-929A-541154897B9A}">
  <sheetPr>
    <pageSetUpPr fitToPage="1"/>
  </sheetPr>
  <dimension ref="A1"/>
  <sheetViews>
    <sheetView zoomScale="70" zoomScaleNormal="70" workbookViewId="0">
      <selection activeCell="P2" sqref="P2"/>
    </sheetView>
  </sheetViews>
  <sheetFormatPr defaultRowHeight="13.5" x14ac:dyDescent="0.15"/>
  <sheetData/>
  <phoneticPr fontId="2"/>
  <pageMargins left="0.7" right="0.7" top="0.75" bottom="0.75" header="0.3" footer="0.3"/>
  <pageSetup paperSize="9" scale="66"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132E76C-517A-40FB-9C06-DFB16D060DF6}">
  <sheetPr>
    <tabColor rgb="FFFF0000"/>
    <pageSetUpPr fitToPage="1"/>
  </sheetPr>
  <dimension ref="A1:I39"/>
  <sheetViews>
    <sheetView view="pageBreakPreview" zoomScale="115" zoomScaleNormal="145" zoomScaleSheetLayoutView="115" workbookViewId="0">
      <selection activeCell="F15" sqref="F15"/>
    </sheetView>
  </sheetViews>
  <sheetFormatPr defaultRowHeight="14.25" x14ac:dyDescent="0.15"/>
  <cols>
    <col min="1" max="1" width="5.5" style="15" bestFit="1" customWidth="1"/>
    <col min="2" max="2" width="0.875" style="15" customWidth="1"/>
    <col min="3" max="3" width="21.5" style="15" bestFit="1" customWidth="1"/>
    <col min="4" max="4" width="15.125" style="15" customWidth="1"/>
    <col min="5" max="5" width="13.75" style="15" customWidth="1"/>
    <col min="6" max="6" width="15.5" style="15" bestFit="1" customWidth="1"/>
    <col min="7" max="7" width="6.25" style="15" hidden="1" customWidth="1"/>
    <col min="8" max="8" width="46.125" style="15" bestFit="1" customWidth="1"/>
    <col min="9" max="16384" width="9" style="15"/>
  </cols>
  <sheetData>
    <row r="1" spans="1:9" x14ac:dyDescent="0.15">
      <c r="D1" s="373" t="s">
        <v>707</v>
      </c>
      <c r="E1" s="373"/>
    </row>
    <row r="2" spans="1:9" s="17" customFormat="1" x14ac:dyDescent="0.15">
      <c r="A2" s="15"/>
      <c r="B2" s="15"/>
      <c r="C2" s="323" t="s">
        <v>392</v>
      </c>
      <c r="D2" s="323" t="s">
        <v>714</v>
      </c>
      <c r="E2" s="323" t="s">
        <v>715</v>
      </c>
      <c r="F2" s="323" t="s">
        <v>674</v>
      </c>
      <c r="G2" s="323" t="s">
        <v>547</v>
      </c>
      <c r="H2" s="323" t="s">
        <v>232</v>
      </c>
    </row>
    <row r="3" spans="1:9" x14ac:dyDescent="0.15">
      <c r="A3" s="15">
        <f>ROW()-2</f>
        <v>1</v>
      </c>
      <c r="C3" s="286" t="s">
        <v>393</v>
      </c>
      <c r="D3" s="287">
        <f>'★日付順2025.2.11'!H93</f>
        <v>840585</v>
      </c>
      <c r="E3" s="288">
        <f>令和５年度日付順!G97</f>
        <v>856821</v>
      </c>
      <c r="F3" s="290" t="s">
        <v>546</v>
      </c>
      <c r="G3" s="291" t="s">
        <v>546</v>
      </c>
      <c r="H3" s="286"/>
    </row>
    <row r="4" spans="1:9" ht="42.75" x14ac:dyDescent="0.15">
      <c r="A4" s="15">
        <f t="shared" ref="A4:A10" si="0">ROW()-2</f>
        <v>2</v>
      </c>
      <c r="C4" s="286" t="s">
        <v>398</v>
      </c>
      <c r="D4" s="287">
        <f>'★日付順2025.2.11'!H94</f>
        <v>516500</v>
      </c>
      <c r="E4" s="288">
        <f>令和５年度日付順!G98</f>
        <v>540500</v>
      </c>
      <c r="F4" s="292">
        <f>D4-E4</f>
        <v>-24000</v>
      </c>
      <c r="G4" s="286">
        <f>INT(100*(D4/E4))-100</f>
        <v>-5</v>
      </c>
      <c r="H4" s="293" t="s">
        <v>719</v>
      </c>
    </row>
    <row r="5" spans="1:9" x14ac:dyDescent="0.15">
      <c r="A5" s="15">
        <f t="shared" si="0"/>
        <v>3</v>
      </c>
      <c r="C5" s="286" t="s">
        <v>399</v>
      </c>
      <c r="D5" s="287">
        <f>'★日付順2025.2.11'!H95</f>
        <v>192000</v>
      </c>
      <c r="E5" s="288">
        <f>令和５年度日付順!G99</f>
        <v>158000</v>
      </c>
      <c r="F5" s="292">
        <f>D5-E5</f>
        <v>34000</v>
      </c>
      <c r="G5" s="286">
        <f t="shared" ref="G5:G7" si="1">INT(100*(D5/E5))-100</f>
        <v>21</v>
      </c>
      <c r="H5" s="286" t="s">
        <v>720</v>
      </c>
    </row>
    <row r="6" spans="1:9" x14ac:dyDescent="0.15">
      <c r="A6" s="15">
        <f t="shared" si="0"/>
        <v>4</v>
      </c>
      <c r="C6" s="286" t="s">
        <v>400</v>
      </c>
      <c r="D6" s="287">
        <f>'★日付順2025.2.11'!H96</f>
        <v>196000</v>
      </c>
      <c r="E6" s="288">
        <f>令和５年度日付順!G100</f>
        <v>209000</v>
      </c>
      <c r="F6" s="292">
        <f>D6-E6</f>
        <v>-13000</v>
      </c>
      <c r="G6" s="286">
        <f t="shared" si="1"/>
        <v>-7</v>
      </c>
      <c r="H6" s="294" t="s">
        <v>675</v>
      </c>
    </row>
    <row r="7" spans="1:9" x14ac:dyDescent="0.15">
      <c r="A7" s="15">
        <f t="shared" si="0"/>
        <v>5</v>
      </c>
      <c r="C7" s="286" t="s">
        <v>401</v>
      </c>
      <c r="D7" s="295">
        <f>'★日付順2025.2.11'!H97</f>
        <v>10019</v>
      </c>
      <c r="E7" s="288">
        <f>令和５年度日付順!G101</f>
        <v>12806</v>
      </c>
      <c r="F7" s="292">
        <f>D7-E7</f>
        <v>-2787</v>
      </c>
      <c r="G7" s="286">
        <f t="shared" si="1"/>
        <v>-22</v>
      </c>
      <c r="H7" s="286" t="s">
        <v>721</v>
      </c>
    </row>
    <row r="8" spans="1:9" x14ac:dyDescent="0.15">
      <c r="A8" s="15">
        <f t="shared" si="0"/>
        <v>6</v>
      </c>
      <c r="C8" s="296" t="s">
        <v>402</v>
      </c>
      <c r="D8" s="297">
        <f>'★日付順2025.2.11'!H98</f>
        <v>0</v>
      </c>
      <c r="E8" s="298">
        <f>令和５年度日付順!G102</f>
        <v>0</v>
      </c>
      <c r="F8" s="299" t="s">
        <v>546</v>
      </c>
      <c r="G8" s="300" t="s">
        <v>546</v>
      </c>
      <c r="H8" s="296" t="s">
        <v>573</v>
      </c>
    </row>
    <row r="9" spans="1:9" x14ac:dyDescent="0.15">
      <c r="A9" s="15">
        <f t="shared" si="0"/>
        <v>7</v>
      </c>
      <c r="C9" s="126" t="s">
        <v>578</v>
      </c>
      <c r="D9" s="301">
        <f>SUM(D3:D8)</f>
        <v>1755104</v>
      </c>
      <c r="E9" s="302">
        <f>SUM(E3:E8)</f>
        <v>1777127</v>
      </c>
      <c r="F9" s="303">
        <f>D9-E9</f>
        <v>-22023</v>
      </c>
      <c r="G9" s="304"/>
      <c r="H9" s="15" t="s">
        <v>676</v>
      </c>
    </row>
    <row r="10" spans="1:9" x14ac:dyDescent="0.15">
      <c r="A10" s="15">
        <f t="shared" si="0"/>
        <v>8</v>
      </c>
      <c r="C10" s="126" t="s">
        <v>677</v>
      </c>
      <c r="D10" s="301">
        <f>SUM(D4:D8)-D6</f>
        <v>718519</v>
      </c>
      <c r="E10" s="302">
        <f>SUM(E4:E8)-E6</f>
        <v>711306</v>
      </c>
      <c r="F10" s="305">
        <f>D10-E10</f>
        <v>7213</v>
      </c>
      <c r="G10" s="304"/>
      <c r="H10" s="15" t="s">
        <v>678</v>
      </c>
    </row>
    <row r="11" spans="1:9" x14ac:dyDescent="0.15">
      <c r="C11" s="126"/>
      <c r="D11" s="302"/>
      <c r="E11" s="302"/>
      <c r="F11" s="306"/>
      <c r="G11" s="304"/>
    </row>
    <row r="12" spans="1:9" x14ac:dyDescent="0.15">
      <c r="D12" s="307"/>
      <c r="E12" s="302"/>
      <c r="F12" s="302"/>
      <c r="I12" s="302"/>
    </row>
    <row r="13" spans="1:9" x14ac:dyDescent="0.15">
      <c r="D13" s="302"/>
      <c r="E13" s="289"/>
      <c r="F13" s="308"/>
      <c r="G13" s="304"/>
    </row>
    <row r="14" spans="1:9" x14ac:dyDescent="0.15">
      <c r="C14" s="126"/>
      <c r="D14" s="302"/>
      <c r="E14" s="302"/>
      <c r="F14" s="302"/>
      <c r="I14" s="302"/>
    </row>
    <row r="15" spans="1:9" x14ac:dyDescent="0.15">
      <c r="D15" s="307"/>
      <c r="E15" s="302"/>
      <c r="F15" s="302"/>
      <c r="I15" s="302"/>
    </row>
    <row r="16" spans="1:9" x14ac:dyDescent="0.15">
      <c r="C16" s="307"/>
      <c r="D16" s="373" t="s">
        <v>707</v>
      </c>
      <c r="E16" s="373"/>
    </row>
    <row r="17" spans="1:8" x14ac:dyDescent="0.15">
      <c r="C17" s="324" t="s">
        <v>569</v>
      </c>
      <c r="D17" s="324" t="s">
        <v>716</v>
      </c>
      <c r="E17" s="324" t="s">
        <v>717</v>
      </c>
      <c r="F17" s="324" t="s">
        <v>674</v>
      </c>
      <c r="G17" s="324" t="s">
        <v>548</v>
      </c>
      <c r="H17" s="324" t="s">
        <v>232</v>
      </c>
    </row>
    <row r="18" spans="1:8" x14ac:dyDescent="0.15">
      <c r="A18" s="15">
        <f>ROW()-17</f>
        <v>1</v>
      </c>
      <c r="C18" s="286" t="s">
        <v>411</v>
      </c>
      <c r="D18" s="295">
        <f>SUM(D19:D20)</f>
        <v>350000</v>
      </c>
      <c r="E18" s="287">
        <f>SUM(E19:E20)</f>
        <v>442016</v>
      </c>
      <c r="F18" s="309">
        <f>D18-E18</f>
        <v>-92016</v>
      </c>
      <c r="G18" s="286">
        <f>INT(100*(D18/E18))-100</f>
        <v>-21</v>
      </c>
      <c r="H18" s="286" t="s">
        <v>587</v>
      </c>
    </row>
    <row r="19" spans="1:8" x14ac:dyDescent="0.15">
      <c r="C19" s="310" t="s">
        <v>679</v>
      </c>
      <c r="D19" s="311">
        <v>350000</v>
      </c>
      <c r="E19" s="312">
        <f>令和５年度日付順!H108</f>
        <v>332527</v>
      </c>
      <c r="F19" s="313" t="s">
        <v>546</v>
      </c>
      <c r="G19" s="314"/>
      <c r="H19" s="315" t="s">
        <v>682</v>
      </c>
    </row>
    <row r="20" spans="1:8" x14ac:dyDescent="0.15">
      <c r="C20" s="310" t="s">
        <v>685</v>
      </c>
      <c r="D20" s="311">
        <f>'★日付順2025.2.11'!H105</f>
        <v>0</v>
      </c>
      <c r="E20" s="312">
        <f>令和５年度日付順!H109</f>
        <v>109489</v>
      </c>
      <c r="F20" s="313" t="s">
        <v>546</v>
      </c>
      <c r="G20" s="314"/>
      <c r="H20" s="310" t="s">
        <v>718</v>
      </c>
    </row>
    <row r="21" spans="1:8" x14ac:dyDescent="0.15">
      <c r="A21" s="15">
        <f>ROW()-19</f>
        <v>2</v>
      </c>
      <c r="C21" s="286" t="s">
        <v>544</v>
      </c>
      <c r="D21" s="316">
        <v>9774</v>
      </c>
      <c r="E21" s="288">
        <f>令和５年度日付順!G110</f>
        <v>8988</v>
      </c>
      <c r="F21" s="292">
        <f t="shared" ref="F21:F32" si="2">D21-E21</f>
        <v>786</v>
      </c>
      <c r="G21" s="286">
        <f t="shared" ref="G21:G32" si="3">INT(100*(D21/E21))-100</f>
        <v>8</v>
      </c>
      <c r="H21" s="286" t="s">
        <v>706</v>
      </c>
    </row>
    <row r="22" spans="1:8" x14ac:dyDescent="0.15">
      <c r="A22" s="15">
        <f t="shared" ref="A22:A36" si="4">ROW()-19</f>
        <v>3</v>
      </c>
      <c r="C22" s="286" t="s">
        <v>545</v>
      </c>
      <c r="D22" s="316">
        <f>令和５年度日付順!G111</f>
        <v>25000</v>
      </c>
      <c r="E22" s="288">
        <f>令和５年度日付順!G111</f>
        <v>25000</v>
      </c>
      <c r="F22" s="317">
        <f t="shared" si="2"/>
        <v>0</v>
      </c>
      <c r="G22" s="286">
        <f t="shared" si="3"/>
        <v>0</v>
      </c>
      <c r="H22" s="286" t="s">
        <v>543</v>
      </c>
    </row>
    <row r="23" spans="1:8" x14ac:dyDescent="0.15">
      <c r="A23" s="15">
        <f t="shared" si="4"/>
        <v>4</v>
      </c>
      <c r="C23" s="286" t="s">
        <v>549</v>
      </c>
      <c r="D23" s="287">
        <f>'★日付順2025.2.11'!H108</f>
        <v>5830</v>
      </c>
      <c r="E23" s="288">
        <f>令和５年度日付順!G112</f>
        <v>5500</v>
      </c>
      <c r="F23" s="292">
        <f t="shared" si="2"/>
        <v>330</v>
      </c>
      <c r="G23" s="286">
        <f t="shared" si="3"/>
        <v>6</v>
      </c>
      <c r="H23" s="286" t="s">
        <v>560</v>
      </c>
    </row>
    <row r="24" spans="1:8" x14ac:dyDescent="0.15">
      <c r="A24" s="15">
        <f t="shared" si="4"/>
        <v>5</v>
      </c>
      <c r="C24" s="294" t="s">
        <v>550</v>
      </c>
      <c r="D24" s="295">
        <f>令和５年度日付順!G113</f>
        <v>22302</v>
      </c>
      <c r="E24" s="288">
        <f>令和５年度日付順!G113</f>
        <v>22302</v>
      </c>
      <c r="F24" s="317">
        <f t="shared" si="2"/>
        <v>0</v>
      </c>
      <c r="G24" s="286">
        <f t="shared" si="3"/>
        <v>0</v>
      </c>
      <c r="H24" s="286" t="s">
        <v>561</v>
      </c>
    </row>
    <row r="25" spans="1:8" x14ac:dyDescent="0.15">
      <c r="A25" s="15">
        <f t="shared" si="4"/>
        <v>6</v>
      </c>
      <c r="C25" s="294" t="s">
        <v>551</v>
      </c>
      <c r="D25" s="287">
        <f>'★日付順2025.2.11'!H110</f>
        <v>80028</v>
      </c>
      <c r="E25" s="288">
        <f>令和５年度日付順!G114</f>
        <v>111735</v>
      </c>
      <c r="F25" s="309">
        <f t="shared" si="2"/>
        <v>-31707</v>
      </c>
      <c r="G25" s="286">
        <f t="shared" si="3"/>
        <v>-29</v>
      </c>
      <c r="H25" s="286" t="s">
        <v>566</v>
      </c>
    </row>
    <row r="26" spans="1:8" x14ac:dyDescent="0.15">
      <c r="A26" s="15">
        <f t="shared" si="4"/>
        <v>7</v>
      </c>
      <c r="C26" s="294" t="s">
        <v>552</v>
      </c>
      <c r="D26" s="287">
        <f>'★日付順2025.2.11'!H111</f>
        <v>53659</v>
      </c>
      <c r="E26" s="288">
        <f>令和５年度日付順!G115</f>
        <v>57449</v>
      </c>
      <c r="F26" s="309">
        <f t="shared" si="2"/>
        <v>-3790</v>
      </c>
      <c r="G26" s="286">
        <f t="shared" si="3"/>
        <v>-7</v>
      </c>
      <c r="H26" s="286" t="s">
        <v>712</v>
      </c>
    </row>
    <row r="27" spans="1:8" x14ac:dyDescent="0.15">
      <c r="A27" s="15">
        <f t="shared" si="4"/>
        <v>8</v>
      </c>
      <c r="C27" s="294" t="s">
        <v>553</v>
      </c>
      <c r="D27" s="287">
        <f>令和５年度日付順!G116</f>
        <v>0</v>
      </c>
      <c r="E27" s="288">
        <f>令和５年度日付順!G116</f>
        <v>0</v>
      </c>
      <c r="F27" s="317">
        <f t="shared" si="2"/>
        <v>0</v>
      </c>
      <c r="G27" s="286">
        <v>0</v>
      </c>
      <c r="H27" s="286"/>
    </row>
    <row r="28" spans="1:8" x14ac:dyDescent="0.15">
      <c r="A28" s="15">
        <f t="shared" si="4"/>
        <v>9</v>
      </c>
      <c r="C28" s="318" t="s">
        <v>554</v>
      </c>
      <c r="D28" s="287">
        <f>令和５年度日付順!G117</f>
        <v>0</v>
      </c>
      <c r="E28" s="288">
        <f>令和５年度日付順!G117</f>
        <v>0</v>
      </c>
      <c r="F28" s="317">
        <f t="shared" si="2"/>
        <v>0</v>
      </c>
      <c r="G28" s="286" t="e">
        <f t="shared" si="3"/>
        <v>#DIV/0!</v>
      </c>
      <c r="H28" s="319" t="s">
        <v>713</v>
      </c>
    </row>
    <row r="29" spans="1:8" x14ac:dyDescent="0.15">
      <c r="A29" s="15">
        <f t="shared" si="4"/>
        <v>10</v>
      </c>
      <c r="C29" s="318" t="s">
        <v>555</v>
      </c>
      <c r="D29" s="287">
        <f>'★日付順2025.2.11'!H114</f>
        <v>1742</v>
      </c>
      <c r="E29" s="288">
        <f>令和５年度日付順!G118</f>
        <v>47523</v>
      </c>
      <c r="F29" s="309">
        <f t="shared" si="2"/>
        <v>-45781</v>
      </c>
      <c r="G29" s="286">
        <f t="shared" si="3"/>
        <v>-97</v>
      </c>
      <c r="H29" s="286" t="s">
        <v>722</v>
      </c>
    </row>
    <row r="30" spans="1:8" x14ac:dyDescent="0.15">
      <c r="A30" s="15">
        <f t="shared" si="4"/>
        <v>11</v>
      </c>
      <c r="C30" s="318" t="s">
        <v>233</v>
      </c>
      <c r="D30" s="295">
        <f>'★日付順2025.2.11'!H115</f>
        <v>77076</v>
      </c>
      <c r="E30" s="288">
        <f>令和５年度日付順!G119</f>
        <v>38556</v>
      </c>
      <c r="F30" s="309">
        <f t="shared" si="2"/>
        <v>38520</v>
      </c>
      <c r="G30" s="286">
        <f t="shared" si="3"/>
        <v>99</v>
      </c>
      <c r="H30" s="319" t="s">
        <v>723</v>
      </c>
    </row>
    <row r="31" spans="1:8" x14ac:dyDescent="0.15">
      <c r="A31" s="15">
        <f t="shared" si="4"/>
        <v>12</v>
      </c>
      <c r="C31" s="318" t="s">
        <v>556</v>
      </c>
      <c r="D31" s="287">
        <f>'★日付順2025.2.11'!H116</f>
        <v>98000</v>
      </c>
      <c r="E31" s="288">
        <f>令和５年度日付順!G120</f>
        <v>146000</v>
      </c>
      <c r="F31" s="309">
        <f t="shared" si="2"/>
        <v>-48000</v>
      </c>
      <c r="G31" s="291" t="s">
        <v>546</v>
      </c>
      <c r="H31" s="286" t="s">
        <v>724</v>
      </c>
    </row>
    <row r="32" spans="1:8" x14ac:dyDescent="0.15">
      <c r="A32" s="15">
        <f t="shared" si="4"/>
        <v>13</v>
      </c>
      <c r="C32" s="318" t="s">
        <v>557</v>
      </c>
      <c r="D32" s="295">
        <f>令和５年度日付順!G121</f>
        <v>31473</v>
      </c>
      <c r="E32" s="288">
        <f>令和５年度日付順!G121</f>
        <v>31473</v>
      </c>
      <c r="F32" s="317">
        <f t="shared" si="2"/>
        <v>0</v>
      </c>
      <c r="G32" s="286">
        <f t="shared" si="3"/>
        <v>0</v>
      </c>
      <c r="H32" s="286"/>
    </row>
    <row r="33" spans="1:8" x14ac:dyDescent="0.15">
      <c r="A33" s="15">
        <f t="shared" si="4"/>
        <v>14</v>
      </c>
      <c r="C33" s="320" t="s">
        <v>558</v>
      </c>
      <c r="D33" s="297">
        <f>令和５年度日付順!G122</f>
        <v>0</v>
      </c>
      <c r="E33" s="297">
        <f>令和５年度日付順!H122</f>
        <v>0</v>
      </c>
      <c r="F33" s="299" t="s">
        <v>546</v>
      </c>
      <c r="G33" s="300" t="s">
        <v>546</v>
      </c>
      <c r="H33" s="296" t="s">
        <v>574</v>
      </c>
    </row>
    <row r="34" spans="1:8" x14ac:dyDescent="0.15">
      <c r="A34" s="15">
        <f t="shared" si="4"/>
        <v>15</v>
      </c>
      <c r="C34" s="286" t="s">
        <v>568</v>
      </c>
      <c r="D34" s="295">
        <f>SUM(D3:D8)-SUM(D18:D33)+SUM(D19:D20)</f>
        <v>1000220</v>
      </c>
      <c r="E34" s="287">
        <f>SUM(E3:E8)-SUM(E18:E33)+SUM(E19:E20)</f>
        <v>840585</v>
      </c>
      <c r="F34" s="290" t="s">
        <v>546</v>
      </c>
      <c r="G34" s="291" t="s">
        <v>546</v>
      </c>
      <c r="H34" s="286"/>
    </row>
    <row r="35" spans="1:8" x14ac:dyDescent="0.15">
      <c r="A35" s="15">
        <f t="shared" si="4"/>
        <v>16</v>
      </c>
      <c r="C35" s="126" t="s">
        <v>708</v>
      </c>
      <c r="D35" s="301">
        <f>SUM(D18:D34)-SUM(D19:D20)</f>
        <v>1755104</v>
      </c>
      <c r="E35" s="302">
        <f>SUM(E18:E34)-SUM(E19:E20)</f>
        <v>1777127</v>
      </c>
      <c r="H35" s="15" t="s">
        <v>709</v>
      </c>
    </row>
    <row r="36" spans="1:8" x14ac:dyDescent="0.15">
      <c r="A36" s="15">
        <f t="shared" si="4"/>
        <v>17</v>
      </c>
      <c r="C36" s="126" t="s">
        <v>710</v>
      </c>
      <c r="D36" s="301">
        <f>SUM(D18:D33)-SUM(D19:D20)-D31</f>
        <v>656884</v>
      </c>
      <c r="E36" s="302">
        <f>SUM(E18:E33)-SUM(E19:E20)-E31</f>
        <v>790542</v>
      </c>
      <c r="H36" s="15" t="s">
        <v>678</v>
      </c>
    </row>
    <row r="37" spans="1:8" x14ac:dyDescent="0.15">
      <c r="C37" s="126"/>
      <c r="D37" s="302"/>
      <c r="E37" s="302"/>
    </row>
    <row r="38" spans="1:8" x14ac:dyDescent="0.15">
      <c r="D38" s="302"/>
      <c r="E38" s="289"/>
      <c r="F38" s="308"/>
      <c r="G38" s="304"/>
    </row>
    <row r="39" spans="1:8" x14ac:dyDescent="0.15">
      <c r="C39" s="126" t="s">
        <v>711</v>
      </c>
      <c r="D39" s="321">
        <f>D34-D3</f>
        <v>159635</v>
      </c>
      <c r="E39" s="322" t="s">
        <v>613</v>
      </c>
    </row>
  </sheetData>
  <mergeCells count="2">
    <mergeCell ref="D1:E1"/>
    <mergeCell ref="D16:E16"/>
  </mergeCells>
  <phoneticPr fontId="2"/>
  <printOptions horizontalCentered="1" verticalCentered="1"/>
  <pageMargins left="0.70866141732283472" right="0.31496062992125984" top="1.3385826771653544" bottom="0.74803149606299213" header="0.9055118110236221" footer="0.31496062992125984"/>
  <pageSetup paperSize="9" scale="79" orientation="landscape" r:id="rId1"/>
  <headerFooter>
    <oddHeader>&amp;C&amp;A&amp;R&amp;D</oddHeader>
  </headerFooter>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3FAC17-DD37-4DCA-B83F-A4D8763540C4}">
  <sheetPr>
    <pageSetUpPr fitToPage="1"/>
  </sheetPr>
  <dimension ref="A1:J43"/>
  <sheetViews>
    <sheetView view="pageBreakPreview" zoomScale="115" zoomScaleNormal="145" zoomScaleSheetLayoutView="115" workbookViewId="0">
      <selection activeCell="I29" sqref="I29"/>
    </sheetView>
  </sheetViews>
  <sheetFormatPr defaultRowHeight="13.5" x14ac:dyDescent="0.15"/>
  <cols>
    <col min="1" max="1" width="4.125" bestFit="1" customWidth="1"/>
    <col min="2" max="2" width="0.875" customWidth="1"/>
    <col min="3" max="3" width="23.625" bestFit="1" customWidth="1"/>
    <col min="4" max="4" width="10.875" customWidth="1"/>
    <col min="5" max="5" width="11.375" bestFit="1" customWidth="1"/>
    <col min="6" max="6" width="1.75" hidden="1" customWidth="1"/>
    <col min="7" max="7" width="14.875" bestFit="1" customWidth="1"/>
    <col min="8" max="8" width="6.25" hidden="1" customWidth="1"/>
    <col min="9" max="9" width="28.875" bestFit="1" customWidth="1"/>
  </cols>
  <sheetData>
    <row r="1" spans="1:10" s="1" customFormat="1" x14ac:dyDescent="0.15">
      <c r="A1"/>
      <c r="B1"/>
      <c r="C1" s="252" t="s">
        <v>392</v>
      </c>
      <c r="D1" s="252" t="s">
        <v>406</v>
      </c>
      <c r="E1" s="252" t="s">
        <v>407</v>
      </c>
      <c r="F1" s="252"/>
      <c r="G1" s="252" t="s">
        <v>564</v>
      </c>
      <c r="H1" s="252" t="s">
        <v>547</v>
      </c>
      <c r="I1" s="252" t="s">
        <v>232</v>
      </c>
    </row>
    <row r="2" spans="1:10" x14ac:dyDescent="0.15">
      <c r="A2">
        <f>ROW()-1</f>
        <v>1</v>
      </c>
      <c r="C2" s="232" t="s">
        <v>393</v>
      </c>
      <c r="D2" s="233">
        <f>令和５年度日付順!J4+令和５年度日付順!J5</f>
        <v>856821</v>
      </c>
      <c r="E2" s="234">
        <v>1076061</v>
      </c>
      <c r="F2" s="243"/>
      <c r="G2" s="240" t="s">
        <v>546</v>
      </c>
      <c r="H2" s="237" t="s">
        <v>546</v>
      </c>
      <c r="I2" s="232"/>
    </row>
    <row r="3" spans="1:10" x14ac:dyDescent="0.15">
      <c r="A3">
        <f t="shared" ref="A3:A43" si="0">ROW()-1</f>
        <v>2</v>
      </c>
      <c r="C3" s="232" t="s">
        <v>398</v>
      </c>
      <c r="D3" s="233">
        <f>令和５年度日付順!G98</f>
        <v>540500</v>
      </c>
      <c r="E3" s="234">
        <v>475000</v>
      </c>
      <c r="F3" s="243"/>
      <c r="G3" s="239">
        <f>D3-E3</f>
        <v>65500</v>
      </c>
      <c r="H3" s="232">
        <f>INT(100*(D3/E3))-100</f>
        <v>13</v>
      </c>
      <c r="I3" s="232" t="s">
        <v>562</v>
      </c>
    </row>
    <row r="4" spans="1:10" x14ac:dyDescent="0.15">
      <c r="A4">
        <f t="shared" si="0"/>
        <v>3</v>
      </c>
      <c r="C4" s="232" t="s">
        <v>399</v>
      </c>
      <c r="D4" s="233">
        <f>令和５年度日付順!G99</f>
        <v>158000</v>
      </c>
      <c r="E4" s="234">
        <v>189000</v>
      </c>
      <c r="F4" s="243"/>
      <c r="G4" s="239">
        <f>D4-E4</f>
        <v>-31000</v>
      </c>
      <c r="H4" s="232">
        <f t="shared" ref="H4:H6" si="1">INT(100*(D4/E4))-100</f>
        <v>-17</v>
      </c>
      <c r="I4" s="232" t="s">
        <v>563</v>
      </c>
    </row>
    <row r="5" spans="1:10" x14ac:dyDescent="0.15">
      <c r="A5">
        <f t="shared" si="0"/>
        <v>4</v>
      </c>
      <c r="C5" s="232" t="s">
        <v>400</v>
      </c>
      <c r="D5" s="233">
        <f>令和５年度日付順!G100</f>
        <v>209000</v>
      </c>
      <c r="E5" s="234">
        <v>164005</v>
      </c>
      <c r="F5" s="243"/>
      <c r="G5" s="239">
        <f>D5-E5</f>
        <v>44995</v>
      </c>
      <c r="H5" s="232">
        <f t="shared" ref="H5" si="2">INT(100*(D5/E5))-100</f>
        <v>27</v>
      </c>
      <c r="I5" s="232" t="s">
        <v>586</v>
      </c>
    </row>
    <row r="6" spans="1:10" x14ac:dyDescent="0.15">
      <c r="A6">
        <f t="shared" si="0"/>
        <v>5</v>
      </c>
      <c r="C6" s="232" t="s">
        <v>401</v>
      </c>
      <c r="D6" s="233">
        <f>令和５年度日付順!G101</f>
        <v>12806</v>
      </c>
      <c r="E6" s="234">
        <v>1347</v>
      </c>
      <c r="F6" s="243"/>
      <c r="G6" s="239">
        <f>D6-E6</f>
        <v>11459</v>
      </c>
      <c r="H6" s="232">
        <f t="shared" si="1"/>
        <v>850</v>
      </c>
      <c r="I6" s="232" t="s">
        <v>581</v>
      </c>
    </row>
    <row r="7" spans="1:10" x14ac:dyDescent="0.15">
      <c r="A7">
        <f t="shared" si="0"/>
        <v>6</v>
      </c>
      <c r="C7" s="232" t="s">
        <v>402</v>
      </c>
      <c r="D7" s="233">
        <f>令和５年度日付順!G102</f>
        <v>0</v>
      </c>
      <c r="E7" s="234">
        <v>115000</v>
      </c>
      <c r="F7" s="243"/>
      <c r="G7" s="240" t="s">
        <v>546</v>
      </c>
      <c r="H7" s="237" t="s">
        <v>546</v>
      </c>
      <c r="I7" s="232" t="s">
        <v>573</v>
      </c>
    </row>
    <row r="8" spans="1:10" x14ac:dyDescent="0.15">
      <c r="A8">
        <f t="shared" si="0"/>
        <v>7</v>
      </c>
      <c r="C8" s="241"/>
      <c r="D8" s="228">
        <f>SUM(D2:D7)</f>
        <v>1777127</v>
      </c>
      <c r="E8" s="228"/>
      <c r="G8" s="244"/>
      <c r="H8" s="245"/>
    </row>
    <row r="9" spans="1:10" x14ac:dyDescent="0.15">
      <c r="A9">
        <f t="shared" si="0"/>
        <v>8</v>
      </c>
      <c r="C9" s="241"/>
      <c r="D9" s="228"/>
      <c r="E9" s="243"/>
      <c r="G9" s="244"/>
      <c r="H9" s="245"/>
    </row>
    <row r="10" spans="1:10" x14ac:dyDescent="0.15">
      <c r="A10">
        <f t="shared" si="0"/>
        <v>9</v>
      </c>
      <c r="C10" s="32" t="s">
        <v>578</v>
      </c>
      <c r="D10" s="242">
        <f>SUM(D3:D6)-D5</f>
        <v>711306</v>
      </c>
      <c r="E10" s="242">
        <f>SUM(E3:E6)-E5</f>
        <v>665347</v>
      </c>
      <c r="G10" s="242">
        <f>D10-E10</f>
        <v>45959</v>
      </c>
      <c r="H10" s="246" t="s">
        <v>576</v>
      </c>
      <c r="J10" s="228"/>
    </row>
    <row r="11" spans="1:10" x14ac:dyDescent="0.15">
      <c r="A11">
        <f t="shared" si="0"/>
        <v>10</v>
      </c>
      <c r="D11" s="241" t="s">
        <v>577</v>
      </c>
      <c r="E11" s="242"/>
      <c r="G11" s="242"/>
      <c r="H11" s="246"/>
      <c r="J11" s="228"/>
    </row>
    <row r="12" spans="1:10" x14ac:dyDescent="0.15">
      <c r="A12">
        <f t="shared" si="0"/>
        <v>11</v>
      </c>
      <c r="D12" s="228"/>
      <c r="E12" s="243"/>
      <c r="G12" s="244"/>
      <c r="H12" s="245"/>
    </row>
    <row r="13" spans="1:10" x14ac:dyDescent="0.15">
      <c r="A13">
        <f t="shared" si="0"/>
        <v>12</v>
      </c>
      <c r="C13" s="32" t="s">
        <v>579</v>
      </c>
      <c r="D13" s="242">
        <f>SUM(D3:D6)</f>
        <v>920306</v>
      </c>
      <c r="E13" s="242">
        <f>SUM(E3:E6)</f>
        <v>829352</v>
      </c>
      <c r="G13" s="242">
        <f>D13-E13</f>
        <v>90954</v>
      </c>
      <c r="H13" s="246" t="s">
        <v>572</v>
      </c>
      <c r="J13" s="228"/>
    </row>
    <row r="14" spans="1:10" x14ac:dyDescent="0.15">
      <c r="A14">
        <f t="shared" si="0"/>
        <v>13</v>
      </c>
      <c r="D14" s="241" t="s">
        <v>580</v>
      </c>
      <c r="E14" s="242"/>
      <c r="G14" s="242"/>
      <c r="H14" s="246"/>
      <c r="J14" s="228"/>
    </row>
    <row r="15" spans="1:10" x14ac:dyDescent="0.15">
      <c r="A15">
        <f t="shared" si="0"/>
        <v>14</v>
      </c>
      <c r="C15" s="238"/>
    </row>
    <row r="16" spans="1:10" x14ac:dyDescent="0.15">
      <c r="A16">
        <f t="shared" si="0"/>
        <v>15</v>
      </c>
      <c r="C16" s="216" t="s">
        <v>569</v>
      </c>
      <c r="D16" s="216" t="s">
        <v>408</v>
      </c>
      <c r="E16" s="216" t="s">
        <v>409</v>
      </c>
      <c r="F16" s="1"/>
      <c r="G16" s="216" t="s">
        <v>564</v>
      </c>
      <c r="H16" s="216" t="s">
        <v>548</v>
      </c>
      <c r="I16" s="216" t="s">
        <v>232</v>
      </c>
    </row>
    <row r="17" spans="1:9" x14ac:dyDescent="0.15">
      <c r="A17">
        <f t="shared" si="0"/>
        <v>16</v>
      </c>
      <c r="C17" s="232" t="s">
        <v>411</v>
      </c>
      <c r="D17" s="233">
        <f>SUM(D18:D19)</f>
        <v>442016</v>
      </c>
      <c r="E17" s="234">
        <v>356565</v>
      </c>
      <c r="F17" s="243"/>
      <c r="G17" s="239">
        <f t="shared" ref="G17:G31" si="3">D17-E17</f>
        <v>85451</v>
      </c>
      <c r="H17" s="232">
        <f>INT(100*(D17/E17))-100</f>
        <v>23</v>
      </c>
      <c r="I17" s="232" t="s">
        <v>587</v>
      </c>
    </row>
    <row r="18" spans="1:9" x14ac:dyDescent="0.15">
      <c r="A18">
        <f t="shared" si="0"/>
        <v>17</v>
      </c>
      <c r="C18" s="236" t="s">
        <v>570</v>
      </c>
      <c r="D18" s="249">
        <f>令和５年度日付順!H108</f>
        <v>332527</v>
      </c>
      <c r="E18" s="250"/>
      <c r="G18" s="251" t="s">
        <v>546</v>
      </c>
      <c r="H18" s="248"/>
      <c r="I18" s="236" t="s">
        <v>403</v>
      </c>
    </row>
    <row r="19" spans="1:9" x14ac:dyDescent="0.15">
      <c r="A19">
        <f t="shared" si="0"/>
        <v>18</v>
      </c>
      <c r="C19" s="236" t="s">
        <v>571</v>
      </c>
      <c r="D19" s="249">
        <f>令和５年度日付順!H109</f>
        <v>109489</v>
      </c>
      <c r="E19" s="250"/>
      <c r="G19" s="251" t="s">
        <v>546</v>
      </c>
      <c r="H19" s="248"/>
      <c r="I19" s="236" t="s">
        <v>404</v>
      </c>
    </row>
    <row r="20" spans="1:9" x14ac:dyDescent="0.15">
      <c r="A20">
        <f t="shared" si="0"/>
        <v>19</v>
      </c>
      <c r="C20" s="232" t="s">
        <v>544</v>
      </c>
      <c r="D20" s="233">
        <f>令和５年度日付順!G110</f>
        <v>8988</v>
      </c>
      <c r="E20" s="234">
        <v>16502</v>
      </c>
      <c r="F20" s="243"/>
      <c r="G20" s="239">
        <f t="shared" si="3"/>
        <v>-7514</v>
      </c>
      <c r="H20" s="232">
        <f t="shared" ref="H20:H21" si="4">INT(100*(D20/E20))-100</f>
        <v>-46</v>
      </c>
      <c r="I20" s="232"/>
    </row>
    <row r="21" spans="1:9" x14ac:dyDescent="0.15">
      <c r="A21">
        <f t="shared" si="0"/>
        <v>20</v>
      </c>
      <c r="C21" s="232" t="s">
        <v>545</v>
      </c>
      <c r="D21" s="233">
        <f>令和５年度日付順!G111</f>
        <v>25000</v>
      </c>
      <c r="E21" s="234">
        <v>25000</v>
      </c>
      <c r="G21" s="239">
        <f t="shared" si="3"/>
        <v>0</v>
      </c>
      <c r="H21" s="232">
        <f t="shared" si="4"/>
        <v>0</v>
      </c>
      <c r="I21" s="232" t="s">
        <v>543</v>
      </c>
    </row>
    <row r="22" spans="1:9" x14ac:dyDescent="0.15">
      <c r="A22">
        <f t="shared" si="0"/>
        <v>21</v>
      </c>
      <c r="C22" s="232" t="s">
        <v>549</v>
      </c>
      <c r="D22" s="233">
        <f>令和５年度日付順!G112</f>
        <v>5500</v>
      </c>
      <c r="E22" s="234">
        <v>10340</v>
      </c>
      <c r="G22" s="239">
        <f t="shared" si="3"/>
        <v>-4840</v>
      </c>
      <c r="H22" s="232">
        <f t="shared" ref="H22:H31" si="5">INT(100*(D22/E22))-100</f>
        <v>-47</v>
      </c>
      <c r="I22" s="232" t="s">
        <v>560</v>
      </c>
    </row>
    <row r="23" spans="1:9" x14ac:dyDescent="0.15">
      <c r="A23">
        <f t="shared" si="0"/>
        <v>22</v>
      </c>
      <c r="C23" s="235" t="s">
        <v>550</v>
      </c>
      <c r="D23" s="233">
        <f>令和５年度日付順!G113</f>
        <v>22302</v>
      </c>
      <c r="E23" s="234">
        <v>21430</v>
      </c>
      <c r="G23" s="239">
        <f t="shared" si="3"/>
        <v>872</v>
      </c>
      <c r="H23" s="232">
        <f t="shared" si="5"/>
        <v>4</v>
      </c>
      <c r="I23" s="232" t="s">
        <v>561</v>
      </c>
    </row>
    <row r="24" spans="1:9" x14ac:dyDescent="0.15">
      <c r="A24">
        <f t="shared" si="0"/>
        <v>23</v>
      </c>
      <c r="C24" s="235" t="s">
        <v>551</v>
      </c>
      <c r="D24" s="233">
        <f>令和５年度日付順!G114</f>
        <v>111735</v>
      </c>
      <c r="E24" s="234">
        <v>88984</v>
      </c>
      <c r="G24" s="239">
        <f t="shared" si="3"/>
        <v>22751</v>
      </c>
      <c r="H24" s="232">
        <f t="shared" si="5"/>
        <v>25</v>
      </c>
      <c r="I24" s="232" t="s">
        <v>566</v>
      </c>
    </row>
    <row r="25" spans="1:9" x14ac:dyDescent="0.15">
      <c r="A25">
        <f t="shared" si="0"/>
        <v>24</v>
      </c>
      <c r="C25" s="235" t="s">
        <v>552</v>
      </c>
      <c r="D25" s="233">
        <f>令和５年度日付順!G115</f>
        <v>57449</v>
      </c>
      <c r="E25" s="234">
        <v>108977</v>
      </c>
      <c r="G25" s="239">
        <f t="shared" si="3"/>
        <v>-51528</v>
      </c>
      <c r="H25" s="232">
        <f t="shared" si="5"/>
        <v>-48</v>
      </c>
      <c r="I25" s="232"/>
    </row>
    <row r="26" spans="1:9" x14ac:dyDescent="0.15">
      <c r="A26">
        <f t="shared" si="0"/>
        <v>25</v>
      </c>
      <c r="C26" s="235" t="s">
        <v>553</v>
      </c>
      <c r="D26" s="233">
        <f>令和５年度日付順!G116</f>
        <v>0</v>
      </c>
      <c r="E26" s="233">
        <f>令和５年度日付順!H116</f>
        <v>0</v>
      </c>
      <c r="G26" s="239">
        <f t="shared" si="3"/>
        <v>0</v>
      </c>
      <c r="H26" s="232">
        <v>0</v>
      </c>
      <c r="I26" s="232"/>
    </row>
    <row r="27" spans="1:9" x14ac:dyDescent="0.15">
      <c r="A27">
        <f t="shared" si="0"/>
        <v>26</v>
      </c>
      <c r="C27" s="39" t="s">
        <v>554</v>
      </c>
      <c r="D27" s="233">
        <f>令和５年度日付順!G117</f>
        <v>0</v>
      </c>
      <c r="E27" s="234">
        <v>8456</v>
      </c>
      <c r="G27" s="239">
        <f t="shared" si="3"/>
        <v>-8456</v>
      </c>
      <c r="H27" s="232">
        <f t="shared" si="5"/>
        <v>-100</v>
      </c>
      <c r="I27" s="232"/>
    </row>
    <row r="28" spans="1:9" x14ac:dyDescent="0.15">
      <c r="A28">
        <f t="shared" si="0"/>
        <v>27</v>
      </c>
      <c r="C28" s="39" t="s">
        <v>555</v>
      </c>
      <c r="D28" s="233">
        <f>令和５年度日付順!G118</f>
        <v>47523</v>
      </c>
      <c r="E28" s="234">
        <v>58000</v>
      </c>
      <c r="G28" s="239">
        <f t="shared" si="3"/>
        <v>-10477</v>
      </c>
      <c r="H28" s="232">
        <f t="shared" si="5"/>
        <v>-19</v>
      </c>
      <c r="I28" s="232" t="s">
        <v>565</v>
      </c>
    </row>
    <row r="29" spans="1:9" x14ac:dyDescent="0.15">
      <c r="A29">
        <f t="shared" si="0"/>
        <v>28</v>
      </c>
      <c r="C29" s="39" t="s">
        <v>233</v>
      </c>
      <c r="D29" s="233">
        <f>令和５年度日付順!G119</f>
        <v>38556</v>
      </c>
      <c r="E29" s="234">
        <v>12698</v>
      </c>
      <c r="G29" s="239">
        <f t="shared" si="3"/>
        <v>25858</v>
      </c>
      <c r="H29" s="232">
        <f t="shared" si="5"/>
        <v>203</v>
      </c>
      <c r="I29" s="232" t="s">
        <v>567</v>
      </c>
    </row>
    <row r="30" spans="1:9" x14ac:dyDescent="0.15">
      <c r="A30">
        <f t="shared" si="0"/>
        <v>29</v>
      </c>
      <c r="C30" s="39" t="s">
        <v>556</v>
      </c>
      <c r="D30" s="233">
        <v>146000</v>
      </c>
      <c r="E30" s="234">
        <v>160000</v>
      </c>
      <c r="G30" s="240" t="s">
        <v>546</v>
      </c>
      <c r="H30" s="237" t="s">
        <v>546</v>
      </c>
      <c r="I30" s="232" t="s">
        <v>612</v>
      </c>
    </row>
    <row r="31" spans="1:9" x14ac:dyDescent="0.15">
      <c r="A31">
        <f t="shared" si="0"/>
        <v>30</v>
      </c>
      <c r="C31" s="39" t="s">
        <v>557</v>
      </c>
      <c r="D31" s="233">
        <f>令和５年度日付順!G121</f>
        <v>31473</v>
      </c>
      <c r="E31" s="234">
        <v>37421</v>
      </c>
      <c r="G31" s="239">
        <f t="shared" si="3"/>
        <v>-5948</v>
      </c>
      <c r="H31" s="232">
        <f t="shared" si="5"/>
        <v>-16</v>
      </c>
      <c r="I31" s="232"/>
    </row>
    <row r="32" spans="1:9" x14ac:dyDescent="0.15">
      <c r="A32">
        <f t="shared" si="0"/>
        <v>31</v>
      </c>
      <c r="C32" s="39" t="s">
        <v>558</v>
      </c>
      <c r="D32" s="233">
        <f>令和５年度日付順!G122</f>
        <v>0</v>
      </c>
      <c r="E32" s="234">
        <v>115000</v>
      </c>
      <c r="G32" s="240" t="s">
        <v>546</v>
      </c>
      <c r="H32" s="237" t="s">
        <v>546</v>
      </c>
      <c r="I32" s="232" t="s">
        <v>574</v>
      </c>
    </row>
    <row r="33" spans="1:10" x14ac:dyDescent="0.15">
      <c r="A33">
        <f t="shared" si="0"/>
        <v>32</v>
      </c>
      <c r="C33" s="232" t="s">
        <v>568</v>
      </c>
      <c r="D33" s="233">
        <f>SUM(D2:D7)-SUM(D17:D32)+SUM(D18:D19)</f>
        <v>840585</v>
      </c>
      <c r="E33" s="234">
        <v>1022880</v>
      </c>
      <c r="G33" s="240" t="s">
        <v>546</v>
      </c>
      <c r="H33" s="237" t="s">
        <v>546</v>
      </c>
      <c r="I33" s="232"/>
    </row>
    <row r="34" spans="1:10" x14ac:dyDescent="0.15">
      <c r="A34">
        <f t="shared" si="0"/>
        <v>33</v>
      </c>
      <c r="C34" s="238"/>
      <c r="D34" s="228">
        <f>SUM(D17:D33)-SUM(D18:D19)</f>
        <v>1777127</v>
      </c>
      <c r="E34" s="228">
        <f>SUM(E17:E33)-SUM(E18:E19)</f>
        <v>2042253</v>
      </c>
    </row>
    <row r="35" spans="1:10" x14ac:dyDescent="0.15">
      <c r="A35">
        <f t="shared" si="0"/>
        <v>34</v>
      </c>
      <c r="C35" s="238"/>
      <c r="D35" s="228"/>
    </row>
    <row r="36" spans="1:10" x14ac:dyDescent="0.15">
      <c r="A36">
        <f t="shared" si="0"/>
        <v>35</v>
      </c>
      <c r="C36" s="32" t="s">
        <v>616</v>
      </c>
      <c r="D36" s="242">
        <f>D34-D30-D32-D33</f>
        <v>790542</v>
      </c>
      <c r="E36" s="242">
        <f>E34-E30-E32-E33</f>
        <v>744373</v>
      </c>
      <c r="G36" s="242">
        <f>D36-E36</f>
        <v>46169</v>
      </c>
      <c r="H36" s="246" t="s">
        <v>575</v>
      </c>
      <c r="J36" s="228"/>
    </row>
    <row r="37" spans="1:10" x14ac:dyDescent="0.15">
      <c r="A37">
        <f t="shared" si="0"/>
        <v>36</v>
      </c>
      <c r="D37" s="241" t="s">
        <v>582</v>
      </c>
      <c r="E37" s="243"/>
      <c r="G37" s="244"/>
      <c r="H37" s="245"/>
    </row>
    <row r="38" spans="1:10" x14ac:dyDescent="0.15">
      <c r="A38">
        <f t="shared" si="0"/>
        <v>37</v>
      </c>
      <c r="C38" s="238"/>
    </row>
    <row r="39" spans="1:10" x14ac:dyDescent="0.15">
      <c r="A39">
        <f t="shared" si="0"/>
        <v>38</v>
      </c>
      <c r="C39" s="32" t="s">
        <v>583</v>
      </c>
      <c r="D39" s="242">
        <f>SUM(D17:D31)-SUM(D18:D19)</f>
        <v>936542</v>
      </c>
      <c r="E39" s="242">
        <f>SUM(E17:E31)-SUM(E18:E19)</f>
        <v>904373</v>
      </c>
      <c r="G39" s="242">
        <f>D39-E39</f>
        <v>32169</v>
      </c>
      <c r="H39" s="246" t="s">
        <v>575</v>
      </c>
      <c r="J39" s="228"/>
    </row>
    <row r="40" spans="1:10" x14ac:dyDescent="0.15">
      <c r="A40">
        <f t="shared" si="0"/>
        <v>39</v>
      </c>
      <c r="D40" s="241" t="s">
        <v>615</v>
      </c>
      <c r="E40" s="243"/>
      <c r="G40" s="244"/>
      <c r="H40" s="245"/>
    </row>
    <row r="41" spans="1:10" x14ac:dyDescent="0.15">
      <c r="A41">
        <f t="shared" si="0"/>
        <v>40</v>
      </c>
      <c r="D41" s="228"/>
      <c r="E41" s="243"/>
      <c r="G41" s="244"/>
      <c r="H41" s="245"/>
    </row>
    <row r="42" spans="1:10" x14ac:dyDescent="0.15">
      <c r="A42">
        <f t="shared" si="0"/>
        <v>41</v>
      </c>
      <c r="C42" s="32" t="s">
        <v>614</v>
      </c>
      <c r="D42" s="263">
        <f>D33-D2</f>
        <v>-16236</v>
      </c>
      <c r="E42" s="247" t="s">
        <v>613</v>
      </c>
    </row>
    <row r="43" spans="1:10" x14ac:dyDescent="0.15">
      <c r="A43">
        <f t="shared" si="0"/>
        <v>42</v>
      </c>
    </row>
  </sheetData>
  <phoneticPr fontId="2"/>
  <printOptions horizontalCentered="1" verticalCentered="1"/>
  <pageMargins left="0.70866141732283472" right="0.31496062992125984" top="0.74803149606299213" bottom="0.74803149606299213" header="0.31496062992125984" footer="0.31496062992125984"/>
  <pageSetup paperSize="9" scale="99" orientation="portrait" r:id="rId1"/>
  <headerFooter>
    <oddHeader>&amp;C&amp;A&amp;R&amp;D</oddHeader>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4649287-77DA-4C2A-8338-34E7D0F02C9A}">
  <sheetPr>
    <tabColor theme="1"/>
    <pageSetUpPr fitToPage="1"/>
  </sheetPr>
  <dimension ref="A1:W128"/>
  <sheetViews>
    <sheetView view="pageBreakPreview" topLeftCell="C1" zoomScaleNormal="90" zoomScaleSheetLayoutView="100" workbookViewId="0">
      <pane ySplit="3" topLeftCell="A77" activePane="bottomLeft" state="frozen"/>
      <selection pane="bottomLeft" activeCell="H72" sqref="H72"/>
    </sheetView>
  </sheetViews>
  <sheetFormatPr defaultColWidth="8.875" defaultRowHeight="13.5" outlineLevelCol="1" x14ac:dyDescent="0.15"/>
  <cols>
    <col min="1" max="1" width="4.5" style="114" bestFit="1" customWidth="1"/>
    <col min="2" max="4" width="4.125" style="114" customWidth="1"/>
    <col min="5" max="5" width="27.125" style="85" customWidth="1"/>
    <col min="6" max="6" width="5" style="114" bestFit="1" customWidth="1"/>
    <col min="7" max="7" width="17.125" style="85" customWidth="1"/>
    <col min="8" max="8" width="27.25" style="107" bestFit="1" customWidth="1"/>
    <col min="9" max="10" width="9.625" style="144" customWidth="1"/>
    <col min="11" max="11" width="11.75" style="146" bestFit="1" customWidth="1"/>
    <col min="12" max="13" width="9.625" style="144" customWidth="1"/>
    <col min="14" max="14" width="9.5" style="107" bestFit="1" customWidth="1"/>
    <col min="15" max="16" width="9" style="107" bestFit="1" customWidth="1"/>
    <col min="17" max="18" width="9.25" style="107" bestFit="1" customWidth="1"/>
    <col min="19" max="19" width="9" style="86" hidden="1" customWidth="1" outlineLevel="1"/>
    <col min="20" max="20" width="31.25" style="145" customWidth="1" collapsed="1"/>
    <col min="21" max="22" width="8.875" style="107"/>
    <col min="23" max="23" width="9.25" style="107" bestFit="1" customWidth="1"/>
    <col min="24" max="16384" width="8.875" style="107"/>
  </cols>
  <sheetData>
    <row r="1" spans="1:23" s="86" customFormat="1" ht="21" customHeight="1" x14ac:dyDescent="0.15">
      <c r="A1" s="81"/>
      <c r="B1" s="81"/>
      <c r="C1" s="81"/>
      <c r="D1" s="81"/>
      <c r="E1" s="82"/>
      <c r="F1" s="81"/>
      <c r="G1" s="82"/>
      <c r="H1" s="81"/>
      <c r="I1" s="83"/>
      <c r="J1" s="83"/>
      <c r="K1" s="83"/>
      <c r="L1" s="83"/>
      <c r="M1" s="84"/>
      <c r="N1" s="84" t="s">
        <v>186</v>
      </c>
      <c r="O1" s="84" t="s">
        <v>186</v>
      </c>
      <c r="P1" s="84"/>
      <c r="Q1" s="84"/>
      <c r="R1" s="84"/>
      <c r="S1" s="81"/>
      <c r="T1" s="85"/>
    </row>
    <row r="2" spans="1:23" s="86" customFormat="1" ht="21" customHeight="1" x14ac:dyDescent="0.15">
      <c r="A2" s="87" t="s">
        <v>6</v>
      </c>
      <c r="B2" s="87" t="s">
        <v>0</v>
      </c>
      <c r="C2" s="87" t="s">
        <v>1</v>
      </c>
      <c r="D2" s="87" t="s">
        <v>2</v>
      </c>
      <c r="E2" s="88" t="s">
        <v>3</v>
      </c>
      <c r="F2" s="87" t="s">
        <v>4</v>
      </c>
      <c r="G2" s="87" t="s">
        <v>244</v>
      </c>
      <c r="H2" s="87" t="s">
        <v>5</v>
      </c>
      <c r="I2" s="89" t="s">
        <v>7</v>
      </c>
      <c r="J2" s="90" t="s">
        <v>9</v>
      </c>
      <c r="K2" s="91" t="s">
        <v>187</v>
      </c>
      <c r="L2" s="92" t="s">
        <v>237</v>
      </c>
      <c r="M2" s="92" t="s">
        <v>188</v>
      </c>
      <c r="N2" s="50" t="s">
        <v>189</v>
      </c>
      <c r="O2" s="50" t="s">
        <v>190</v>
      </c>
      <c r="P2" s="50" t="s">
        <v>191</v>
      </c>
      <c r="Q2" s="50" t="s">
        <v>241</v>
      </c>
      <c r="R2" s="50" t="s">
        <v>242</v>
      </c>
      <c r="S2" s="50" t="s">
        <v>192</v>
      </c>
      <c r="T2" s="50" t="s">
        <v>193</v>
      </c>
    </row>
    <row r="3" spans="1:23" s="100" customFormat="1" ht="12" customHeight="1" x14ac:dyDescent="0.15">
      <c r="A3" s="93">
        <v>0</v>
      </c>
      <c r="B3" s="93"/>
      <c r="C3" s="93"/>
      <c r="D3" s="93"/>
      <c r="E3" s="94"/>
      <c r="F3" s="93"/>
      <c r="G3" s="93"/>
      <c r="H3" s="93"/>
      <c r="I3" s="95"/>
      <c r="J3" s="95"/>
      <c r="K3" s="95"/>
      <c r="L3" s="96">
        <v>0</v>
      </c>
      <c r="M3" s="96">
        <v>0</v>
      </c>
      <c r="N3" s="97">
        <v>0</v>
      </c>
      <c r="O3" s="97">
        <v>0</v>
      </c>
      <c r="P3" s="97">
        <v>0</v>
      </c>
      <c r="Q3" s="97">
        <v>0</v>
      </c>
      <c r="R3" s="97">
        <v>0</v>
      </c>
      <c r="S3" s="98"/>
      <c r="T3" s="99" t="s">
        <v>194</v>
      </c>
    </row>
    <row r="4" spans="1:23" s="100" customFormat="1" ht="21" customHeight="1" x14ac:dyDescent="0.15">
      <c r="A4" s="41">
        <f>ROW()-3</f>
        <v>1</v>
      </c>
      <c r="B4" s="41">
        <v>5</v>
      </c>
      <c r="C4" s="41">
        <v>4</v>
      </c>
      <c r="D4" s="41">
        <v>1</v>
      </c>
      <c r="E4" s="37" t="s">
        <v>195</v>
      </c>
      <c r="F4" s="41" t="s">
        <v>202</v>
      </c>
      <c r="G4" s="37" t="s">
        <v>394</v>
      </c>
      <c r="H4" s="37" t="s">
        <v>197</v>
      </c>
      <c r="I4" s="101"/>
      <c r="J4" s="101">
        <v>801901</v>
      </c>
      <c r="K4" s="102" t="s">
        <v>188</v>
      </c>
      <c r="L4" s="103">
        <f ca="1">OFFSET(L4,-1,0)+J4-I4</f>
        <v>801901</v>
      </c>
      <c r="M4" s="103">
        <f t="shared" ref="M4:R4" ca="1" si="0">IF($K4=M$2,OFFSET(M4,-1,0)+$J4-$I4,OFFSET(M4,-1,0))</f>
        <v>801901</v>
      </c>
      <c r="N4" s="103">
        <f t="shared" ca="1" si="0"/>
        <v>0</v>
      </c>
      <c r="O4" s="103">
        <f t="shared" ca="1" si="0"/>
        <v>0</v>
      </c>
      <c r="P4" s="103">
        <f t="shared" ca="1" si="0"/>
        <v>0</v>
      </c>
      <c r="Q4" s="103">
        <f t="shared" ca="1" si="0"/>
        <v>0</v>
      </c>
      <c r="R4" s="103">
        <f t="shared" ca="1" si="0"/>
        <v>0</v>
      </c>
      <c r="S4" s="102" t="b">
        <f t="shared" ref="S4:S51" ca="1" si="1">L4=SUM(M4:R4)</f>
        <v>1</v>
      </c>
      <c r="T4" s="37"/>
    </row>
    <row r="5" spans="1:23" s="100" customFormat="1" ht="21" customHeight="1" x14ac:dyDescent="0.15">
      <c r="A5" s="41">
        <f t="shared" ref="A5:A87" si="2">ROW()-3</f>
        <v>2</v>
      </c>
      <c r="B5" s="41">
        <v>5</v>
      </c>
      <c r="C5" s="41">
        <v>4</v>
      </c>
      <c r="D5" s="41">
        <v>1</v>
      </c>
      <c r="E5" s="37" t="s">
        <v>198</v>
      </c>
      <c r="F5" s="41" t="s">
        <v>202</v>
      </c>
      <c r="G5" s="37" t="s">
        <v>394</v>
      </c>
      <c r="H5" s="37" t="s">
        <v>236</v>
      </c>
      <c r="I5" s="101"/>
      <c r="J5" s="101">
        <v>54920</v>
      </c>
      <c r="K5" s="102" t="s">
        <v>199</v>
      </c>
      <c r="L5" s="103">
        <f t="shared" ref="L5:L59" ca="1" si="3">OFFSET(L5,-1,0)+J5-I5</f>
        <v>856821</v>
      </c>
      <c r="M5" s="103">
        <f t="shared" ref="M5:Q5" ca="1" si="4">IF($K5=M$2,OFFSET(M5,-1,0)+$J5-$I5,OFFSET(M5,-1,0))</f>
        <v>801901</v>
      </c>
      <c r="N5" s="103">
        <f t="shared" ca="1" si="4"/>
        <v>54920</v>
      </c>
      <c r="O5" s="103">
        <f t="shared" ca="1" si="4"/>
        <v>0</v>
      </c>
      <c r="P5" s="103">
        <f t="shared" ca="1" si="4"/>
        <v>0</v>
      </c>
      <c r="Q5" s="103">
        <f t="shared" ca="1" si="4"/>
        <v>0</v>
      </c>
      <c r="R5" s="103">
        <f t="shared" ref="R5:R87" ca="1" si="5">IF($K5=R$2,OFFSET(R5,-1,0)+$J5-$I5,OFFSET(R5,-1,0))</f>
        <v>0</v>
      </c>
      <c r="S5" s="102" t="b">
        <f t="shared" ca="1" si="1"/>
        <v>1</v>
      </c>
      <c r="T5" s="37"/>
      <c r="W5" s="104"/>
    </row>
    <row r="6" spans="1:23" s="100" customFormat="1" ht="21" customHeight="1" x14ac:dyDescent="0.15">
      <c r="A6" s="41">
        <f t="shared" si="2"/>
        <v>3</v>
      </c>
      <c r="B6" s="41">
        <v>5</v>
      </c>
      <c r="C6" s="41">
        <v>5</v>
      </c>
      <c r="D6" s="41">
        <v>25</v>
      </c>
      <c r="E6" s="105" t="s">
        <v>626</v>
      </c>
      <c r="F6" s="102">
        <v>11</v>
      </c>
      <c r="G6" s="37" t="s">
        <v>233</v>
      </c>
      <c r="H6" s="4" t="s">
        <v>627</v>
      </c>
      <c r="I6" s="101">
        <v>1000</v>
      </c>
      <c r="J6" s="101"/>
      <c r="K6" s="102" t="s">
        <v>199</v>
      </c>
      <c r="L6" s="103">
        <f t="shared" ca="1" si="3"/>
        <v>855821</v>
      </c>
      <c r="M6" s="103">
        <f t="shared" ref="M6:R49" ca="1" si="6">IF($K6=M$2,OFFSET(M6,-1,0)+$J6-$I6,OFFSET(M6,-1,0))</f>
        <v>801901</v>
      </c>
      <c r="N6" s="103">
        <f t="shared" ca="1" si="6"/>
        <v>53920</v>
      </c>
      <c r="O6" s="103">
        <f t="shared" ca="1" si="6"/>
        <v>0</v>
      </c>
      <c r="P6" s="103">
        <f t="shared" ca="1" si="6"/>
        <v>0</v>
      </c>
      <c r="Q6" s="103">
        <f t="shared" ca="1" si="6"/>
        <v>0</v>
      </c>
      <c r="R6" s="103">
        <f t="shared" ca="1" si="5"/>
        <v>0</v>
      </c>
      <c r="S6" s="102" t="b">
        <f t="shared" ref="S6" ca="1" si="7">L6=SUM(M6:R6)</f>
        <v>1</v>
      </c>
      <c r="T6" s="88" t="s">
        <v>630</v>
      </c>
      <c r="V6" s="104"/>
    </row>
    <row r="7" spans="1:23" s="100" customFormat="1" ht="21" customHeight="1" x14ac:dyDescent="0.15">
      <c r="A7" s="41">
        <f t="shared" si="2"/>
        <v>4</v>
      </c>
      <c r="B7" s="41">
        <v>5</v>
      </c>
      <c r="C7" s="41">
        <v>6</v>
      </c>
      <c r="D7" s="41">
        <v>1</v>
      </c>
      <c r="E7" s="105" t="s">
        <v>626</v>
      </c>
      <c r="F7" s="102">
        <v>11</v>
      </c>
      <c r="G7" s="37" t="s">
        <v>233</v>
      </c>
      <c r="H7" s="4" t="s">
        <v>628</v>
      </c>
      <c r="I7" s="101">
        <v>1000</v>
      </c>
      <c r="J7" s="101"/>
      <c r="K7" s="102" t="s">
        <v>199</v>
      </c>
      <c r="L7" s="103">
        <f t="shared" ref="L7" ca="1" si="8">OFFSET(L7,-1,0)+J7-I7</f>
        <v>854821</v>
      </c>
      <c r="M7" s="103">
        <f t="shared" ca="1" si="6"/>
        <v>801901</v>
      </c>
      <c r="N7" s="103">
        <f t="shared" ca="1" si="6"/>
        <v>52920</v>
      </c>
      <c r="O7" s="103">
        <f t="shared" ca="1" si="6"/>
        <v>0</v>
      </c>
      <c r="P7" s="103">
        <f t="shared" ca="1" si="6"/>
        <v>0</v>
      </c>
      <c r="Q7" s="103">
        <f t="shared" ca="1" si="6"/>
        <v>0</v>
      </c>
      <c r="R7" s="103">
        <f t="shared" ca="1" si="5"/>
        <v>0</v>
      </c>
      <c r="S7" s="102" t="b">
        <f t="shared" ref="S7" ca="1" si="9">L7=SUM(M7:R7)</f>
        <v>1</v>
      </c>
      <c r="T7" s="88" t="s">
        <v>631</v>
      </c>
      <c r="V7" s="104"/>
    </row>
    <row r="8" spans="1:23" s="100" customFormat="1" ht="21" customHeight="1" x14ac:dyDescent="0.15">
      <c r="A8" s="41">
        <f t="shared" si="2"/>
        <v>5</v>
      </c>
      <c r="B8" s="41">
        <v>5</v>
      </c>
      <c r="C8" s="41">
        <v>6</v>
      </c>
      <c r="D8" s="41">
        <v>5</v>
      </c>
      <c r="E8" s="105" t="s">
        <v>245</v>
      </c>
      <c r="F8" s="161"/>
      <c r="G8" s="99"/>
      <c r="H8" s="160" t="s">
        <v>243</v>
      </c>
      <c r="I8" s="255"/>
      <c r="J8" s="255">
        <v>100000</v>
      </c>
      <c r="K8" s="50" t="s">
        <v>241</v>
      </c>
      <c r="L8" s="103">
        <f t="shared" ref="L8:L49" ca="1" si="10">OFFSET(L8,-1,0)+J8-I8</f>
        <v>954821</v>
      </c>
      <c r="M8" s="103">
        <f t="shared" ca="1" si="6"/>
        <v>801901</v>
      </c>
      <c r="N8" s="103">
        <f t="shared" ca="1" si="6"/>
        <v>52920</v>
      </c>
      <c r="O8" s="103">
        <f t="shared" ca="1" si="6"/>
        <v>0</v>
      </c>
      <c r="P8" s="103">
        <f t="shared" ca="1" si="6"/>
        <v>0</v>
      </c>
      <c r="Q8" s="103">
        <f t="shared" ca="1" si="6"/>
        <v>100000</v>
      </c>
      <c r="R8" s="103">
        <f t="shared" ca="1" si="5"/>
        <v>0</v>
      </c>
      <c r="S8" s="102" t="b">
        <f t="shared" ca="1" si="1"/>
        <v>1</v>
      </c>
      <c r="T8" s="88"/>
      <c r="V8" s="104"/>
    </row>
    <row r="9" spans="1:23" s="100" customFormat="1" ht="21" customHeight="1" x14ac:dyDescent="0.15">
      <c r="A9" s="41">
        <f t="shared" si="2"/>
        <v>6</v>
      </c>
      <c r="B9" s="41">
        <v>5</v>
      </c>
      <c r="C9" s="41">
        <v>6</v>
      </c>
      <c r="D9" s="41">
        <v>7</v>
      </c>
      <c r="E9" s="105" t="s">
        <v>353</v>
      </c>
      <c r="F9" s="102">
        <v>6</v>
      </c>
      <c r="G9" s="37" t="s">
        <v>618</v>
      </c>
      <c r="H9" s="4" t="s">
        <v>167</v>
      </c>
      <c r="I9" s="101">
        <v>5500</v>
      </c>
      <c r="J9" s="101"/>
      <c r="K9" s="50" t="s">
        <v>191</v>
      </c>
      <c r="L9" s="103">
        <f t="shared" ref="L9:L10" ca="1" si="11">OFFSET(L9,-1,0)+J9-I9</f>
        <v>949321</v>
      </c>
      <c r="M9" s="103">
        <f t="shared" ca="1" si="6"/>
        <v>801901</v>
      </c>
      <c r="N9" s="103">
        <f t="shared" ca="1" si="6"/>
        <v>52920</v>
      </c>
      <c r="O9" s="103">
        <f t="shared" ca="1" si="6"/>
        <v>0</v>
      </c>
      <c r="P9" s="103">
        <f t="shared" ca="1" si="6"/>
        <v>-5500</v>
      </c>
      <c r="Q9" s="103">
        <f t="shared" ca="1" si="6"/>
        <v>100000</v>
      </c>
      <c r="R9" s="103">
        <f t="shared" ca="1" si="5"/>
        <v>0</v>
      </c>
      <c r="S9" s="102" t="b">
        <f t="shared" ca="1" si="1"/>
        <v>1</v>
      </c>
      <c r="T9" s="88"/>
      <c r="V9" s="104"/>
    </row>
    <row r="10" spans="1:23" s="100" customFormat="1" ht="21" customHeight="1" x14ac:dyDescent="0.15">
      <c r="A10" s="41">
        <f t="shared" si="2"/>
        <v>7</v>
      </c>
      <c r="B10" s="41">
        <v>5</v>
      </c>
      <c r="C10" s="41">
        <v>6</v>
      </c>
      <c r="D10" s="41">
        <v>8</v>
      </c>
      <c r="E10" s="105" t="s">
        <v>626</v>
      </c>
      <c r="F10" s="102">
        <v>11</v>
      </c>
      <c r="G10" s="37" t="s">
        <v>233</v>
      </c>
      <c r="H10" s="4" t="s">
        <v>629</v>
      </c>
      <c r="I10" s="101">
        <v>1000</v>
      </c>
      <c r="J10" s="101"/>
      <c r="K10" s="102" t="s">
        <v>199</v>
      </c>
      <c r="L10" s="103">
        <f t="shared" ca="1" si="11"/>
        <v>948321</v>
      </c>
      <c r="M10" s="103">
        <f t="shared" ca="1" si="6"/>
        <v>801901</v>
      </c>
      <c r="N10" s="103">
        <f t="shared" ca="1" si="6"/>
        <v>51920</v>
      </c>
      <c r="O10" s="103">
        <f t="shared" ca="1" si="6"/>
        <v>0</v>
      </c>
      <c r="P10" s="103">
        <f t="shared" ca="1" si="6"/>
        <v>-5500</v>
      </c>
      <c r="Q10" s="103">
        <f t="shared" ca="1" si="6"/>
        <v>100000</v>
      </c>
      <c r="R10" s="103">
        <f t="shared" ca="1" si="5"/>
        <v>0</v>
      </c>
      <c r="S10" s="102" t="b">
        <f t="shared" ref="S10" ca="1" si="12">L10=SUM(M10:R10)</f>
        <v>1</v>
      </c>
      <c r="T10" s="88" t="s">
        <v>155</v>
      </c>
      <c r="V10" s="104"/>
    </row>
    <row r="11" spans="1:23" s="100" customFormat="1" ht="21" customHeight="1" x14ac:dyDescent="0.15">
      <c r="A11" s="41">
        <f t="shared" si="2"/>
        <v>8</v>
      </c>
      <c r="B11" s="41">
        <v>5</v>
      </c>
      <c r="C11" s="41">
        <v>6</v>
      </c>
      <c r="D11" s="41">
        <v>9</v>
      </c>
      <c r="E11" s="105" t="s">
        <v>634</v>
      </c>
      <c r="F11" s="102">
        <v>11</v>
      </c>
      <c r="G11" s="37" t="s">
        <v>233</v>
      </c>
      <c r="H11" s="4" t="s">
        <v>628</v>
      </c>
      <c r="I11" s="101">
        <v>1000</v>
      </c>
      <c r="J11" s="101"/>
      <c r="K11" s="102" t="s">
        <v>199</v>
      </c>
      <c r="L11" s="103">
        <f t="shared" ref="L11" ca="1" si="13">OFFSET(L11,-1,0)+J11-I11</f>
        <v>947321</v>
      </c>
      <c r="M11" s="103">
        <f t="shared" ca="1" si="6"/>
        <v>801901</v>
      </c>
      <c r="N11" s="103">
        <f t="shared" ca="1" si="6"/>
        <v>50920</v>
      </c>
      <c r="O11" s="103">
        <f t="shared" ca="1" si="6"/>
        <v>0</v>
      </c>
      <c r="P11" s="103">
        <f t="shared" ca="1" si="6"/>
        <v>-5500</v>
      </c>
      <c r="Q11" s="103">
        <f t="shared" ca="1" si="6"/>
        <v>100000</v>
      </c>
      <c r="R11" s="103">
        <f t="shared" ca="1" si="5"/>
        <v>0</v>
      </c>
      <c r="S11" s="102" t="b">
        <f t="shared" ref="S11" ca="1" si="14">L11=SUM(M11:R11)</f>
        <v>1</v>
      </c>
      <c r="T11" s="88" t="s">
        <v>632</v>
      </c>
      <c r="V11" s="104"/>
    </row>
    <row r="12" spans="1:23" s="100" customFormat="1" ht="21" customHeight="1" x14ac:dyDescent="0.15">
      <c r="A12" s="41">
        <f t="shared" si="2"/>
        <v>9</v>
      </c>
      <c r="B12" s="41">
        <v>5</v>
      </c>
      <c r="C12" s="41">
        <v>6</v>
      </c>
      <c r="D12" s="41">
        <v>14</v>
      </c>
      <c r="E12" s="105" t="s">
        <v>245</v>
      </c>
      <c r="F12" s="161"/>
      <c r="G12" s="99"/>
      <c r="H12" s="160" t="s">
        <v>243</v>
      </c>
      <c r="I12" s="255"/>
      <c r="J12" s="255">
        <v>100000</v>
      </c>
      <c r="K12" s="50" t="s">
        <v>241</v>
      </c>
      <c r="L12" s="103">
        <f t="shared" ca="1" si="10"/>
        <v>1047321</v>
      </c>
      <c r="M12" s="103">
        <f t="shared" ca="1" si="6"/>
        <v>801901</v>
      </c>
      <c r="N12" s="103">
        <f t="shared" ca="1" si="6"/>
        <v>50920</v>
      </c>
      <c r="O12" s="103">
        <f t="shared" ca="1" si="6"/>
        <v>0</v>
      </c>
      <c r="P12" s="103">
        <f t="shared" ca="1" si="6"/>
        <v>-5500</v>
      </c>
      <c r="Q12" s="103">
        <f t="shared" ca="1" si="6"/>
        <v>200000</v>
      </c>
      <c r="R12" s="103">
        <f t="shared" ca="1" si="5"/>
        <v>0</v>
      </c>
      <c r="S12" s="102" t="b">
        <f t="shared" ca="1" si="1"/>
        <v>1</v>
      </c>
      <c r="T12" s="88"/>
      <c r="V12" s="104"/>
    </row>
    <row r="13" spans="1:23" s="100" customFormat="1" ht="21" customHeight="1" x14ac:dyDescent="0.15">
      <c r="A13" s="41">
        <f t="shared" si="2"/>
        <v>10</v>
      </c>
      <c r="B13" s="41">
        <v>5</v>
      </c>
      <c r="C13" s="41">
        <v>6</v>
      </c>
      <c r="D13" s="41">
        <v>18</v>
      </c>
      <c r="E13" s="105" t="s">
        <v>352</v>
      </c>
      <c r="F13" s="102">
        <v>6</v>
      </c>
      <c r="G13" s="37" t="s">
        <v>618</v>
      </c>
      <c r="H13" s="4" t="s">
        <v>164</v>
      </c>
      <c r="I13" s="101">
        <v>7800</v>
      </c>
      <c r="J13" s="101"/>
      <c r="K13" s="50" t="s">
        <v>191</v>
      </c>
      <c r="L13" s="103">
        <f t="shared" ca="1" si="10"/>
        <v>1039521</v>
      </c>
      <c r="M13" s="103">
        <f t="shared" ca="1" si="6"/>
        <v>801901</v>
      </c>
      <c r="N13" s="103">
        <f t="shared" ca="1" si="6"/>
        <v>50920</v>
      </c>
      <c r="O13" s="103">
        <f t="shared" ca="1" si="6"/>
        <v>0</v>
      </c>
      <c r="P13" s="103">
        <f t="shared" ca="1" si="6"/>
        <v>-13300</v>
      </c>
      <c r="Q13" s="103">
        <f t="shared" ca="1" si="6"/>
        <v>200000</v>
      </c>
      <c r="R13" s="103">
        <f t="shared" ca="1" si="5"/>
        <v>0</v>
      </c>
      <c r="S13" s="102" t="b">
        <f t="shared" ref="S13" ca="1" si="15">L13=SUM(M13:R13)</f>
        <v>1</v>
      </c>
      <c r="T13" s="88"/>
      <c r="V13" s="104"/>
    </row>
    <row r="14" spans="1:23" s="100" customFormat="1" ht="21" customHeight="1" x14ac:dyDescent="0.15">
      <c r="A14" s="41">
        <f t="shared" si="2"/>
        <v>11</v>
      </c>
      <c r="B14" s="41">
        <v>5</v>
      </c>
      <c r="C14" s="41">
        <v>6</v>
      </c>
      <c r="D14" s="41">
        <v>21</v>
      </c>
      <c r="E14" s="105" t="s">
        <v>591</v>
      </c>
      <c r="F14" s="102">
        <v>11</v>
      </c>
      <c r="G14" s="37" t="s">
        <v>233</v>
      </c>
      <c r="H14" s="4" t="s">
        <v>592</v>
      </c>
      <c r="I14" s="101">
        <v>2000</v>
      </c>
      <c r="J14" s="101"/>
      <c r="K14" s="50" t="s">
        <v>200</v>
      </c>
      <c r="L14" s="103">
        <f t="shared" ref="L14" ca="1" si="16">OFFSET(L14,-1,0)+J14-I14</f>
        <v>1037521</v>
      </c>
      <c r="M14" s="103">
        <f t="shared" ca="1" si="6"/>
        <v>801901</v>
      </c>
      <c r="N14" s="103">
        <f t="shared" ca="1" si="6"/>
        <v>50920</v>
      </c>
      <c r="O14" s="103">
        <f t="shared" ca="1" si="6"/>
        <v>-2000</v>
      </c>
      <c r="P14" s="103">
        <f t="shared" ca="1" si="6"/>
        <v>-13300</v>
      </c>
      <c r="Q14" s="103">
        <f t="shared" ca="1" si="6"/>
        <v>200000</v>
      </c>
      <c r="R14" s="103">
        <f t="shared" ca="1" si="5"/>
        <v>0</v>
      </c>
      <c r="S14" s="102" t="b">
        <f t="shared" ref="S14" ca="1" si="17">L14=SUM(M14:R14)</f>
        <v>1</v>
      </c>
      <c r="T14" s="88"/>
      <c r="V14" s="104"/>
    </row>
    <row r="15" spans="1:23" s="100" customFormat="1" ht="21" customHeight="1" x14ac:dyDescent="0.15">
      <c r="A15" s="41">
        <f t="shared" si="2"/>
        <v>12</v>
      </c>
      <c r="B15" s="41">
        <v>5</v>
      </c>
      <c r="C15" s="41">
        <v>6</v>
      </c>
      <c r="D15" s="41">
        <v>23</v>
      </c>
      <c r="E15" s="105" t="s">
        <v>169</v>
      </c>
      <c r="F15" s="102">
        <v>6</v>
      </c>
      <c r="G15" s="37" t="s">
        <v>618</v>
      </c>
      <c r="H15" s="4" t="s">
        <v>31</v>
      </c>
      <c r="I15" s="257">
        <v>88693</v>
      </c>
      <c r="J15" s="101"/>
      <c r="K15" s="102" t="s">
        <v>199</v>
      </c>
      <c r="L15" s="103">
        <f t="shared" ca="1" si="10"/>
        <v>948828</v>
      </c>
      <c r="M15" s="103">
        <f t="shared" ca="1" si="6"/>
        <v>801901</v>
      </c>
      <c r="N15" s="103">
        <f t="shared" ca="1" si="6"/>
        <v>-37773</v>
      </c>
      <c r="O15" s="103">
        <f t="shared" ca="1" si="6"/>
        <v>-2000</v>
      </c>
      <c r="P15" s="103">
        <f t="shared" ca="1" si="6"/>
        <v>-13300</v>
      </c>
      <c r="Q15" s="103">
        <f t="shared" ca="1" si="6"/>
        <v>200000</v>
      </c>
      <c r="R15" s="103">
        <f t="shared" ca="1" si="5"/>
        <v>0</v>
      </c>
      <c r="S15" s="102" t="b">
        <f t="shared" ca="1" si="1"/>
        <v>1</v>
      </c>
      <c r="T15" s="256" t="s">
        <v>605</v>
      </c>
      <c r="V15" s="104"/>
    </row>
    <row r="16" spans="1:23" s="100" customFormat="1" ht="21" customHeight="1" x14ac:dyDescent="0.15">
      <c r="A16" s="41">
        <f t="shared" si="2"/>
        <v>13</v>
      </c>
      <c r="B16" s="41">
        <v>5</v>
      </c>
      <c r="C16" s="41">
        <v>6</v>
      </c>
      <c r="D16" s="41">
        <v>23</v>
      </c>
      <c r="E16" s="7" t="s">
        <v>171</v>
      </c>
      <c r="F16" s="102">
        <v>10</v>
      </c>
      <c r="G16" s="37" t="s">
        <v>619</v>
      </c>
      <c r="H16" s="4" t="s">
        <v>31</v>
      </c>
      <c r="I16" s="257">
        <v>44346</v>
      </c>
      <c r="J16" s="101"/>
      <c r="K16" s="102" t="s">
        <v>199</v>
      </c>
      <c r="L16" s="103">
        <f t="shared" ca="1" si="10"/>
        <v>904482</v>
      </c>
      <c r="M16" s="103">
        <f t="shared" ca="1" si="6"/>
        <v>801901</v>
      </c>
      <c r="N16" s="103">
        <f t="shared" ca="1" si="6"/>
        <v>-82119</v>
      </c>
      <c r="O16" s="103">
        <f t="shared" ca="1" si="6"/>
        <v>-2000</v>
      </c>
      <c r="P16" s="103">
        <f t="shared" ca="1" si="6"/>
        <v>-13300</v>
      </c>
      <c r="Q16" s="103">
        <f t="shared" ca="1" si="6"/>
        <v>200000</v>
      </c>
      <c r="R16" s="103">
        <f t="shared" ca="1" si="5"/>
        <v>0</v>
      </c>
      <c r="S16" s="102" t="b">
        <f t="shared" ca="1" si="1"/>
        <v>1</v>
      </c>
      <c r="T16" s="256" t="s">
        <v>605</v>
      </c>
      <c r="V16" s="104"/>
    </row>
    <row r="17" spans="1:22" s="100" customFormat="1" ht="21" customHeight="1" x14ac:dyDescent="0.15">
      <c r="A17" s="41">
        <f t="shared" si="2"/>
        <v>14</v>
      </c>
      <c r="B17" s="41">
        <v>5</v>
      </c>
      <c r="C17" s="41">
        <v>6</v>
      </c>
      <c r="D17" s="41">
        <v>27</v>
      </c>
      <c r="E17" s="78" t="s">
        <v>172</v>
      </c>
      <c r="F17" s="102">
        <v>10</v>
      </c>
      <c r="G17" s="37" t="s">
        <v>619</v>
      </c>
      <c r="H17" s="4" t="s">
        <v>30</v>
      </c>
      <c r="I17" s="101">
        <v>770</v>
      </c>
      <c r="J17" s="101"/>
      <c r="K17" s="102" t="s">
        <v>199</v>
      </c>
      <c r="L17" s="103">
        <f t="shared" ca="1" si="10"/>
        <v>903712</v>
      </c>
      <c r="M17" s="103">
        <f t="shared" ca="1" si="6"/>
        <v>801901</v>
      </c>
      <c r="N17" s="103">
        <f t="shared" ca="1" si="6"/>
        <v>-82889</v>
      </c>
      <c r="O17" s="103">
        <f t="shared" ca="1" si="6"/>
        <v>-2000</v>
      </c>
      <c r="P17" s="103">
        <f t="shared" ca="1" si="6"/>
        <v>-13300</v>
      </c>
      <c r="Q17" s="103">
        <f t="shared" ca="1" si="6"/>
        <v>200000</v>
      </c>
      <c r="R17" s="103">
        <f t="shared" ca="1" si="5"/>
        <v>0</v>
      </c>
      <c r="S17" s="102" t="b">
        <f t="shared" ca="1" si="1"/>
        <v>1</v>
      </c>
      <c r="T17" s="88"/>
      <c r="V17" s="104"/>
    </row>
    <row r="18" spans="1:22" s="100" customFormat="1" ht="21" customHeight="1" x14ac:dyDescent="0.15">
      <c r="A18" s="41">
        <f t="shared" si="2"/>
        <v>15</v>
      </c>
      <c r="B18" s="41">
        <v>5</v>
      </c>
      <c r="C18" s="41">
        <v>6</v>
      </c>
      <c r="D18" s="41">
        <v>28</v>
      </c>
      <c r="E18" s="7" t="s">
        <v>173</v>
      </c>
      <c r="F18" s="102">
        <v>10</v>
      </c>
      <c r="G18" s="37" t="s">
        <v>619</v>
      </c>
      <c r="H18" s="4" t="s">
        <v>32</v>
      </c>
      <c r="I18" s="101">
        <v>2407</v>
      </c>
      <c r="J18" s="101"/>
      <c r="K18" s="102" t="s">
        <v>199</v>
      </c>
      <c r="L18" s="103">
        <f t="shared" ca="1" si="10"/>
        <v>901305</v>
      </c>
      <c r="M18" s="103">
        <f t="shared" ca="1" si="6"/>
        <v>801901</v>
      </c>
      <c r="N18" s="103">
        <f t="shared" ca="1" si="6"/>
        <v>-85296</v>
      </c>
      <c r="O18" s="103">
        <f t="shared" ca="1" si="6"/>
        <v>-2000</v>
      </c>
      <c r="P18" s="103">
        <f t="shared" ca="1" si="6"/>
        <v>-13300</v>
      </c>
      <c r="Q18" s="103">
        <f t="shared" ca="1" si="6"/>
        <v>200000</v>
      </c>
      <c r="R18" s="103">
        <f t="shared" ca="1" si="5"/>
        <v>0</v>
      </c>
      <c r="S18" s="102" t="b">
        <f t="shared" ca="1" si="1"/>
        <v>1</v>
      </c>
      <c r="T18" s="88" t="str">
        <f>"橋本立替"&amp; SUM(I15:I20)</f>
        <v>橋本立替280356</v>
      </c>
      <c r="V18" s="104"/>
    </row>
    <row r="19" spans="1:22" s="100" customFormat="1" ht="21" customHeight="1" x14ac:dyDescent="0.15">
      <c r="A19" s="41">
        <f t="shared" si="2"/>
        <v>16</v>
      </c>
      <c r="B19" s="41">
        <v>5</v>
      </c>
      <c r="C19" s="41">
        <v>6</v>
      </c>
      <c r="D19" s="41">
        <v>28</v>
      </c>
      <c r="E19" s="105" t="s">
        <v>593</v>
      </c>
      <c r="F19" s="102">
        <v>11</v>
      </c>
      <c r="G19" s="37" t="s">
        <v>233</v>
      </c>
      <c r="H19" s="4" t="s">
        <v>592</v>
      </c>
      <c r="I19" s="101">
        <v>140</v>
      </c>
      <c r="J19" s="101"/>
      <c r="K19" s="50" t="s">
        <v>200</v>
      </c>
      <c r="L19" s="103">
        <f t="shared" ca="1" si="10"/>
        <v>901165</v>
      </c>
      <c r="M19" s="103">
        <f t="shared" ca="1" si="6"/>
        <v>801901</v>
      </c>
      <c r="N19" s="103">
        <f t="shared" ca="1" si="6"/>
        <v>-85296</v>
      </c>
      <c r="O19" s="103">
        <f t="shared" ca="1" si="6"/>
        <v>-2140</v>
      </c>
      <c r="P19" s="103">
        <f t="shared" ca="1" si="6"/>
        <v>-13300</v>
      </c>
      <c r="Q19" s="103">
        <f t="shared" ca="1" si="6"/>
        <v>200000</v>
      </c>
      <c r="R19" s="103">
        <f t="shared" ca="1" si="5"/>
        <v>0</v>
      </c>
      <c r="S19" s="102" t="b">
        <f t="shared" ref="S19" ca="1" si="18">L19=SUM(M19:R19)</f>
        <v>1</v>
      </c>
      <c r="T19" s="88"/>
      <c r="V19" s="104"/>
    </row>
    <row r="20" spans="1:22" s="100" customFormat="1" ht="21" customHeight="1" x14ac:dyDescent="0.15">
      <c r="A20" s="41">
        <f t="shared" si="2"/>
        <v>17</v>
      </c>
      <c r="B20" s="41">
        <v>5</v>
      </c>
      <c r="C20" s="41">
        <v>6</v>
      </c>
      <c r="D20" s="41">
        <v>29</v>
      </c>
      <c r="E20" s="105" t="s">
        <v>247</v>
      </c>
      <c r="F20" s="161"/>
      <c r="G20" s="99"/>
      <c r="H20" s="159" t="s">
        <v>199</v>
      </c>
      <c r="I20" s="255">
        <f>153900-9900</f>
        <v>144000</v>
      </c>
      <c r="J20" s="255"/>
      <c r="K20" s="102" t="s">
        <v>199</v>
      </c>
      <c r="L20" s="103">
        <f t="shared" ref="L20" ca="1" si="19">OFFSET(L20,-1,0)+J20-I20</f>
        <v>757165</v>
      </c>
      <c r="M20" s="103">
        <f t="shared" ca="1" si="6"/>
        <v>801901</v>
      </c>
      <c r="N20" s="103">
        <f t="shared" ca="1" si="6"/>
        <v>-229296</v>
      </c>
      <c r="O20" s="103">
        <f t="shared" ca="1" si="6"/>
        <v>-2140</v>
      </c>
      <c r="P20" s="103">
        <f t="shared" ca="1" si="6"/>
        <v>-13300</v>
      </c>
      <c r="Q20" s="103">
        <f t="shared" ca="1" si="6"/>
        <v>200000</v>
      </c>
      <c r="R20" s="103">
        <f t="shared" ca="1" si="5"/>
        <v>0</v>
      </c>
      <c r="S20" s="102" t="b">
        <f t="shared" ca="1" si="1"/>
        <v>1</v>
      </c>
      <c r="T20" s="156" t="s">
        <v>270</v>
      </c>
      <c r="V20" s="104"/>
    </row>
    <row r="21" spans="1:22" s="100" customFormat="1" ht="21" customHeight="1" x14ac:dyDescent="0.15">
      <c r="A21" s="41">
        <f t="shared" si="2"/>
        <v>18</v>
      </c>
      <c r="B21" s="41">
        <v>5</v>
      </c>
      <c r="C21" s="41">
        <v>6</v>
      </c>
      <c r="D21" s="41">
        <v>29</v>
      </c>
      <c r="E21" s="105" t="s">
        <v>246</v>
      </c>
      <c r="F21" s="161"/>
      <c r="G21" s="99"/>
      <c r="H21" s="160" t="s">
        <v>243</v>
      </c>
      <c r="I21" s="255"/>
      <c r="J21" s="255">
        <f>153900-9900</f>
        <v>144000</v>
      </c>
      <c r="K21" s="50" t="s">
        <v>241</v>
      </c>
      <c r="L21" s="103">
        <f t="shared" ca="1" si="10"/>
        <v>901165</v>
      </c>
      <c r="M21" s="103">
        <f t="shared" ca="1" si="6"/>
        <v>801901</v>
      </c>
      <c r="N21" s="103">
        <f t="shared" ca="1" si="6"/>
        <v>-229296</v>
      </c>
      <c r="O21" s="103">
        <f t="shared" ca="1" si="6"/>
        <v>-2140</v>
      </c>
      <c r="P21" s="103">
        <f t="shared" ca="1" si="6"/>
        <v>-13300</v>
      </c>
      <c r="Q21" s="103">
        <f t="shared" ca="1" si="6"/>
        <v>344000</v>
      </c>
      <c r="R21" s="103">
        <f t="shared" ca="1" si="5"/>
        <v>0</v>
      </c>
      <c r="S21" s="102" t="b">
        <f t="shared" ca="1" si="1"/>
        <v>1</v>
      </c>
      <c r="T21" s="156" t="s">
        <v>270</v>
      </c>
      <c r="V21" s="104"/>
    </row>
    <row r="22" spans="1:22" s="100" customFormat="1" ht="21" customHeight="1" x14ac:dyDescent="0.15">
      <c r="A22" s="41">
        <f t="shared" si="2"/>
        <v>19</v>
      </c>
      <c r="B22" s="41">
        <v>5</v>
      </c>
      <c r="C22" s="41">
        <v>7</v>
      </c>
      <c r="D22" s="41">
        <v>4</v>
      </c>
      <c r="E22" s="105" t="s">
        <v>351</v>
      </c>
      <c r="F22" s="102">
        <v>6</v>
      </c>
      <c r="G22" s="37" t="s">
        <v>618</v>
      </c>
      <c r="H22" s="4" t="s">
        <v>162</v>
      </c>
      <c r="I22" s="101">
        <v>3028</v>
      </c>
      <c r="J22" s="101"/>
      <c r="K22" s="50" t="s">
        <v>191</v>
      </c>
      <c r="L22" s="103">
        <f t="shared" ref="L22:L23" ca="1" si="20">OFFSET(L22,-1,0)+J22-I22</f>
        <v>898137</v>
      </c>
      <c r="M22" s="103">
        <f t="shared" ca="1" si="6"/>
        <v>801901</v>
      </c>
      <c r="N22" s="103">
        <f t="shared" ca="1" si="6"/>
        <v>-229296</v>
      </c>
      <c r="O22" s="103">
        <f t="shared" ca="1" si="6"/>
        <v>-2140</v>
      </c>
      <c r="P22" s="103">
        <f t="shared" ca="1" si="6"/>
        <v>-16328</v>
      </c>
      <c r="Q22" s="103">
        <f t="shared" ca="1" si="6"/>
        <v>344000</v>
      </c>
      <c r="R22" s="103">
        <f t="shared" ca="1" si="5"/>
        <v>0</v>
      </c>
      <c r="S22" s="102" t="b">
        <f t="shared" ca="1" si="1"/>
        <v>1</v>
      </c>
      <c r="T22" s="88"/>
      <c r="V22" s="104"/>
    </row>
    <row r="23" spans="1:22" s="100" customFormat="1" ht="21" customHeight="1" x14ac:dyDescent="0.15">
      <c r="A23" s="41">
        <f t="shared" si="2"/>
        <v>20</v>
      </c>
      <c r="B23" s="41">
        <v>5</v>
      </c>
      <c r="C23" s="41">
        <v>7</v>
      </c>
      <c r="D23" s="41">
        <v>6</v>
      </c>
      <c r="E23" s="105" t="s">
        <v>633</v>
      </c>
      <c r="F23" s="102">
        <v>11</v>
      </c>
      <c r="G23" s="37" t="s">
        <v>233</v>
      </c>
      <c r="H23" s="4" t="s">
        <v>629</v>
      </c>
      <c r="I23" s="101">
        <v>1000</v>
      </c>
      <c r="J23" s="101"/>
      <c r="K23" s="102" t="s">
        <v>199</v>
      </c>
      <c r="L23" s="103">
        <f t="shared" ca="1" si="20"/>
        <v>897137</v>
      </c>
      <c r="M23" s="103">
        <f t="shared" ca="1" si="6"/>
        <v>801901</v>
      </c>
      <c r="N23" s="103">
        <f t="shared" ca="1" si="6"/>
        <v>-230296</v>
      </c>
      <c r="O23" s="103">
        <f t="shared" ca="1" si="6"/>
        <v>-2140</v>
      </c>
      <c r="P23" s="103">
        <f t="shared" ca="1" si="6"/>
        <v>-16328</v>
      </c>
      <c r="Q23" s="103">
        <f t="shared" ca="1" si="6"/>
        <v>344000</v>
      </c>
      <c r="R23" s="103">
        <f t="shared" ca="1" si="5"/>
        <v>0</v>
      </c>
      <c r="S23" s="102" t="b">
        <f t="shared" ref="S23" ca="1" si="21">L23=SUM(M23:R23)</f>
        <v>1</v>
      </c>
      <c r="T23" s="88" t="s">
        <v>155</v>
      </c>
      <c r="V23" s="104"/>
    </row>
    <row r="24" spans="1:22" s="100" customFormat="1" ht="21" customHeight="1" x14ac:dyDescent="0.15">
      <c r="A24" s="41">
        <f t="shared" si="2"/>
        <v>21</v>
      </c>
      <c r="B24" s="41">
        <v>5</v>
      </c>
      <c r="C24" s="41">
        <v>7</v>
      </c>
      <c r="D24" s="41">
        <v>9</v>
      </c>
      <c r="E24" s="105" t="s">
        <v>248</v>
      </c>
      <c r="F24" s="102" t="s">
        <v>225</v>
      </c>
      <c r="G24" s="37" t="s">
        <v>41</v>
      </c>
      <c r="H24" s="106" t="s">
        <v>602</v>
      </c>
      <c r="I24" s="101"/>
      <c r="J24" s="101">
        <f>2000+5000</f>
        <v>7000</v>
      </c>
      <c r="K24" s="102" t="s">
        <v>199</v>
      </c>
      <c r="L24" s="103">
        <f ca="1">OFFSET(L24,-1,0)+J24-I24</f>
        <v>904137</v>
      </c>
      <c r="M24" s="103">
        <f t="shared" ref="M24:R24" ca="1" si="22">IF($K24=M$2,OFFSET(M24,-1,0)+$J24-$I24,OFFSET(M24,-1,0))</f>
        <v>801901</v>
      </c>
      <c r="N24" s="103">
        <f t="shared" ca="1" si="22"/>
        <v>-223296</v>
      </c>
      <c r="O24" s="103">
        <f t="shared" ca="1" si="22"/>
        <v>-2140</v>
      </c>
      <c r="P24" s="103">
        <f t="shared" ca="1" si="22"/>
        <v>-16328</v>
      </c>
      <c r="Q24" s="103">
        <f t="shared" ca="1" si="22"/>
        <v>344000</v>
      </c>
      <c r="R24" s="103">
        <f t="shared" ca="1" si="22"/>
        <v>0</v>
      </c>
      <c r="S24" s="102" t="b">
        <f ca="1">L24=SUM(M24:R24)</f>
        <v>1</v>
      </c>
      <c r="T24" s="88"/>
      <c r="V24" s="104"/>
    </row>
    <row r="25" spans="1:22" s="100" customFormat="1" ht="21" customHeight="1" x14ac:dyDescent="0.15">
      <c r="A25" s="41">
        <f t="shared" si="2"/>
        <v>22</v>
      </c>
      <c r="B25" s="41">
        <v>5</v>
      </c>
      <c r="C25" s="41">
        <v>7</v>
      </c>
      <c r="D25" s="41">
        <v>9</v>
      </c>
      <c r="E25" s="7" t="s">
        <v>38</v>
      </c>
      <c r="F25" s="102" t="s">
        <v>224</v>
      </c>
      <c r="G25" s="37" t="s">
        <v>395</v>
      </c>
      <c r="H25" s="4" t="s">
        <v>40</v>
      </c>
      <c r="I25" s="101"/>
      <c r="J25" s="101">
        <v>501500</v>
      </c>
      <c r="K25" s="102" t="s">
        <v>199</v>
      </c>
      <c r="L25" s="103">
        <f t="shared" ca="1" si="10"/>
        <v>1405637</v>
      </c>
      <c r="M25" s="103">
        <f t="shared" ca="1" si="6"/>
        <v>801901</v>
      </c>
      <c r="N25" s="103">
        <f t="shared" ca="1" si="6"/>
        <v>278204</v>
      </c>
      <c r="O25" s="103">
        <f t="shared" ca="1" si="6"/>
        <v>-2140</v>
      </c>
      <c r="P25" s="103">
        <f t="shared" ca="1" si="6"/>
        <v>-16328</v>
      </c>
      <c r="Q25" s="103">
        <f t="shared" ca="1" si="6"/>
        <v>344000</v>
      </c>
      <c r="R25" s="103">
        <f t="shared" ca="1" si="5"/>
        <v>0</v>
      </c>
      <c r="S25" s="102" t="b">
        <f t="shared" ca="1" si="1"/>
        <v>1</v>
      </c>
      <c r="T25" s="88"/>
      <c r="V25" s="104"/>
    </row>
    <row r="26" spans="1:22" s="100" customFormat="1" ht="21" customHeight="1" x14ac:dyDescent="0.15">
      <c r="A26" s="41">
        <f t="shared" si="2"/>
        <v>23</v>
      </c>
      <c r="B26" s="41">
        <v>5</v>
      </c>
      <c r="C26" s="41">
        <v>7</v>
      </c>
      <c r="D26" s="41">
        <v>9</v>
      </c>
      <c r="E26" s="105" t="s">
        <v>247</v>
      </c>
      <c r="F26" s="161"/>
      <c r="G26" s="99"/>
      <c r="H26" s="159" t="s">
        <v>199</v>
      </c>
      <c r="I26" s="255">
        <v>100000</v>
      </c>
      <c r="J26" s="255"/>
      <c r="K26" s="102" t="s">
        <v>199</v>
      </c>
      <c r="L26" s="103">
        <f t="shared" ca="1" si="10"/>
        <v>1305637</v>
      </c>
      <c r="M26" s="103">
        <f t="shared" ca="1" si="6"/>
        <v>801901</v>
      </c>
      <c r="N26" s="103">
        <f t="shared" ca="1" si="6"/>
        <v>178204</v>
      </c>
      <c r="O26" s="103">
        <f t="shared" ca="1" si="6"/>
        <v>-2140</v>
      </c>
      <c r="P26" s="103">
        <f t="shared" ca="1" si="6"/>
        <v>-16328</v>
      </c>
      <c r="Q26" s="103">
        <f t="shared" ca="1" si="6"/>
        <v>344000</v>
      </c>
      <c r="R26" s="103">
        <f t="shared" ca="1" si="5"/>
        <v>0</v>
      </c>
      <c r="S26" s="102" t="b">
        <f t="shared" ca="1" si="1"/>
        <v>1</v>
      </c>
      <c r="T26" s="88"/>
      <c r="V26" s="104"/>
    </row>
    <row r="27" spans="1:22" s="100" customFormat="1" ht="21" customHeight="1" x14ac:dyDescent="0.15">
      <c r="A27" s="41">
        <f t="shared" si="2"/>
        <v>24</v>
      </c>
      <c r="B27" s="41">
        <v>5</v>
      </c>
      <c r="C27" s="41">
        <v>7</v>
      </c>
      <c r="D27" s="41">
        <v>9</v>
      </c>
      <c r="E27" s="105" t="s">
        <v>246</v>
      </c>
      <c r="F27" s="161"/>
      <c r="G27" s="99"/>
      <c r="H27" s="160" t="s">
        <v>201</v>
      </c>
      <c r="I27" s="255"/>
      <c r="J27" s="255">
        <v>100000</v>
      </c>
      <c r="K27" s="50" t="s">
        <v>191</v>
      </c>
      <c r="L27" s="103">
        <f t="shared" ca="1" si="10"/>
        <v>1405637</v>
      </c>
      <c r="M27" s="103">
        <f t="shared" ca="1" si="6"/>
        <v>801901</v>
      </c>
      <c r="N27" s="103">
        <f t="shared" ca="1" si="6"/>
        <v>178204</v>
      </c>
      <c r="O27" s="103">
        <f t="shared" ca="1" si="6"/>
        <v>-2140</v>
      </c>
      <c r="P27" s="103">
        <f t="shared" ca="1" si="6"/>
        <v>83672</v>
      </c>
      <c r="Q27" s="103">
        <f t="shared" ca="1" si="6"/>
        <v>344000</v>
      </c>
      <c r="R27" s="103">
        <f t="shared" ca="1" si="5"/>
        <v>0</v>
      </c>
      <c r="S27" s="102" t="b">
        <f t="shared" ca="1" si="1"/>
        <v>1</v>
      </c>
      <c r="T27" s="88"/>
      <c r="V27" s="104"/>
    </row>
    <row r="28" spans="1:22" s="100" customFormat="1" ht="21" customHeight="1" x14ac:dyDescent="0.15">
      <c r="A28" s="41">
        <f t="shared" si="2"/>
        <v>25</v>
      </c>
      <c r="B28" s="41">
        <v>5</v>
      </c>
      <c r="C28" s="41">
        <v>7</v>
      </c>
      <c r="D28" s="41">
        <v>9</v>
      </c>
      <c r="E28" s="105" t="s">
        <v>350</v>
      </c>
      <c r="F28" s="102">
        <v>7</v>
      </c>
      <c r="G28" s="37" t="s">
        <v>620</v>
      </c>
      <c r="H28" s="4" t="s">
        <v>347</v>
      </c>
      <c r="I28" s="101">
        <v>22809</v>
      </c>
      <c r="J28" s="101"/>
      <c r="K28" s="50" t="s">
        <v>191</v>
      </c>
      <c r="L28" s="103">
        <f t="shared" ca="1" si="10"/>
        <v>1382828</v>
      </c>
      <c r="M28" s="103">
        <f t="shared" ca="1" si="6"/>
        <v>801901</v>
      </c>
      <c r="N28" s="103">
        <f t="shared" ca="1" si="6"/>
        <v>178204</v>
      </c>
      <c r="O28" s="103">
        <f t="shared" ca="1" si="6"/>
        <v>-2140</v>
      </c>
      <c r="P28" s="103">
        <f t="shared" ca="1" si="6"/>
        <v>60863</v>
      </c>
      <c r="Q28" s="103">
        <f t="shared" ca="1" si="6"/>
        <v>344000</v>
      </c>
      <c r="R28" s="103">
        <f t="shared" ca="1" si="5"/>
        <v>0</v>
      </c>
      <c r="S28" s="102" t="b">
        <f t="shared" ref="S28" ca="1" si="23">L28=SUM(M28:R28)</f>
        <v>1</v>
      </c>
      <c r="T28" s="88"/>
      <c r="V28" s="104"/>
    </row>
    <row r="29" spans="1:22" s="100" customFormat="1" ht="21" customHeight="1" x14ac:dyDescent="0.15">
      <c r="A29" s="41">
        <f t="shared" si="2"/>
        <v>26</v>
      </c>
      <c r="B29" s="41">
        <v>5</v>
      </c>
      <c r="C29" s="41">
        <v>7</v>
      </c>
      <c r="D29" s="41">
        <v>10</v>
      </c>
      <c r="E29" s="105" t="s">
        <v>249</v>
      </c>
      <c r="F29" s="102">
        <v>6</v>
      </c>
      <c r="G29" s="37" t="s">
        <v>618</v>
      </c>
      <c r="H29" s="106" t="s">
        <v>30</v>
      </c>
      <c r="I29" s="101">
        <v>884</v>
      </c>
      <c r="J29" s="101"/>
      <c r="K29" s="102" t="s">
        <v>199</v>
      </c>
      <c r="L29" s="103">
        <f t="shared" ca="1" si="10"/>
        <v>1381944</v>
      </c>
      <c r="M29" s="103">
        <f t="shared" ca="1" si="6"/>
        <v>801901</v>
      </c>
      <c r="N29" s="103">
        <f t="shared" ca="1" si="6"/>
        <v>177320</v>
      </c>
      <c r="O29" s="103">
        <f t="shared" ca="1" si="6"/>
        <v>-2140</v>
      </c>
      <c r="P29" s="103">
        <f t="shared" ca="1" si="6"/>
        <v>60863</v>
      </c>
      <c r="Q29" s="103">
        <f t="shared" ca="1" si="6"/>
        <v>344000</v>
      </c>
      <c r="R29" s="103">
        <f t="shared" ca="1" si="5"/>
        <v>0</v>
      </c>
      <c r="S29" s="102" t="b">
        <f t="shared" ca="1" si="1"/>
        <v>1</v>
      </c>
      <c r="T29" s="88"/>
      <c r="V29" s="104"/>
    </row>
    <row r="30" spans="1:22" s="100" customFormat="1" ht="21" customHeight="1" x14ac:dyDescent="0.15">
      <c r="A30" s="41">
        <f t="shared" si="2"/>
        <v>27</v>
      </c>
      <c r="B30" s="41">
        <v>5</v>
      </c>
      <c r="C30" s="41">
        <v>7</v>
      </c>
      <c r="D30" s="41">
        <v>10</v>
      </c>
      <c r="E30" s="105" t="s">
        <v>598</v>
      </c>
      <c r="F30" s="102">
        <v>11</v>
      </c>
      <c r="G30" s="37" t="s">
        <v>233</v>
      </c>
      <c r="H30" s="7" t="s">
        <v>599</v>
      </c>
      <c r="I30" s="255">
        <v>0</v>
      </c>
      <c r="J30" s="101"/>
      <c r="K30" s="50" t="s">
        <v>200</v>
      </c>
      <c r="L30" s="103">
        <f t="shared" ref="L30" ca="1" si="24">OFFSET(L30,-1,0)+J30-I30</f>
        <v>1381944</v>
      </c>
      <c r="M30" s="103">
        <f t="shared" ref="M30:R36" ca="1" si="25">IF($K30=M$2,OFFSET(M30,-1,0)+$J30-$I30,OFFSET(M30,-1,0))</f>
        <v>801901</v>
      </c>
      <c r="N30" s="103">
        <f t="shared" ca="1" si="25"/>
        <v>177320</v>
      </c>
      <c r="O30" s="103">
        <f t="shared" ca="1" si="25"/>
        <v>-2140</v>
      </c>
      <c r="P30" s="103">
        <f t="shared" ca="1" si="25"/>
        <v>60863</v>
      </c>
      <c r="Q30" s="103">
        <f t="shared" ca="1" si="25"/>
        <v>344000</v>
      </c>
      <c r="R30" s="103">
        <f t="shared" ca="1" si="25"/>
        <v>0</v>
      </c>
      <c r="S30" s="102" t="b">
        <f t="shared" ref="S30" ca="1" si="26">L30=SUM(M30:R30)</f>
        <v>1</v>
      </c>
      <c r="T30" s="88" t="s">
        <v>641</v>
      </c>
      <c r="V30" s="104"/>
    </row>
    <row r="31" spans="1:22" s="100" customFormat="1" ht="21" customHeight="1" x14ac:dyDescent="0.15">
      <c r="A31" s="41">
        <f t="shared" si="2"/>
        <v>28</v>
      </c>
      <c r="B31" s="41">
        <v>5</v>
      </c>
      <c r="C31" s="41">
        <v>7</v>
      </c>
      <c r="D31" s="41">
        <v>10</v>
      </c>
      <c r="E31" s="105" t="s">
        <v>349</v>
      </c>
      <c r="F31" s="102">
        <v>1</v>
      </c>
      <c r="G31" s="37" t="s">
        <v>46</v>
      </c>
      <c r="H31" s="7" t="s">
        <v>163</v>
      </c>
      <c r="I31" s="101">
        <v>35416</v>
      </c>
      <c r="J31" s="101"/>
      <c r="K31" s="50" t="s">
        <v>191</v>
      </c>
      <c r="L31" s="103">
        <f t="shared" ca="1" si="10"/>
        <v>1346528</v>
      </c>
      <c r="M31" s="103">
        <f t="shared" ca="1" si="25"/>
        <v>801901</v>
      </c>
      <c r="N31" s="103">
        <f t="shared" ca="1" si="25"/>
        <v>177320</v>
      </c>
      <c r="O31" s="103">
        <f t="shared" ca="1" si="25"/>
        <v>-2140</v>
      </c>
      <c r="P31" s="103">
        <f t="shared" ca="1" si="25"/>
        <v>25447</v>
      </c>
      <c r="Q31" s="103">
        <f t="shared" ca="1" si="25"/>
        <v>344000</v>
      </c>
      <c r="R31" s="103">
        <f t="shared" ca="1" si="25"/>
        <v>0</v>
      </c>
      <c r="S31" s="102" t="b">
        <f t="shared" ca="1" si="1"/>
        <v>1</v>
      </c>
      <c r="T31" s="88"/>
      <c r="V31" s="104"/>
    </row>
    <row r="32" spans="1:22" s="100" customFormat="1" ht="21" customHeight="1" x14ac:dyDescent="0.15">
      <c r="A32" s="41">
        <f t="shared" si="2"/>
        <v>29</v>
      </c>
      <c r="B32" s="41">
        <v>5</v>
      </c>
      <c r="C32" s="41">
        <v>7</v>
      </c>
      <c r="D32" s="41">
        <v>10</v>
      </c>
      <c r="E32" s="105" t="s">
        <v>589</v>
      </c>
      <c r="F32" s="102">
        <v>5</v>
      </c>
      <c r="G32" s="37" t="s">
        <v>622</v>
      </c>
      <c r="H32" s="7" t="s">
        <v>163</v>
      </c>
      <c r="I32" s="101">
        <v>12302</v>
      </c>
      <c r="J32" s="101"/>
      <c r="K32" s="50" t="s">
        <v>191</v>
      </c>
      <c r="L32" s="103">
        <f t="shared" ref="L32" ca="1" si="27">OFFSET(L32,-1,0)+J32-I32</f>
        <v>1334226</v>
      </c>
      <c r="M32" s="103">
        <f t="shared" ca="1" si="25"/>
        <v>801901</v>
      </c>
      <c r="N32" s="103">
        <f t="shared" ca="1" si="25"/>
        <v>177320</v>
      </c>
      <c r="O32" s="103">
        <f t="shared" ca="1" si="25"/>
        <v>-2140</v>
      </c>
      <c r="P32" s="103">
        <f t="shared" ca="1" si="25"/>
        <v>13145</v>
      </c>
      <c r="Q32" s="103">
        <f t="shared" ca="1" si="25"/>
        <v>344000</v>
      </c>
      <c r="R32" s="103">
        <f t="shared" ca="1" si="25"/>
        <v>0</v>
      </c>
      <c r="S32" s="102" t="b">
        <f t="shared" ref="S32" ca="1" si="28">L32=SUM(M32:R32)</f>
        <v>1</v>
      </c>
      <c r="T32" s="88"/>
      <c r="V32" s="104"/>
    </row>
    <row r="33" spans="1:22" s="100" customFormat="1" ht="21" customHeight="1" x14ac:dyDescent="0.15">
      <c r="A33" s="41">
        <f t="shared" si="2"/>
        <v>30</v>
      </c>
      <c r="B33" s="41">
        <v>5</v>
      </c>
      <c r="C33" s="41">
        <v>7</v>
      </c>
      <c r="D33" s="41">
        <v>10</v>
      </c>
      <c r="E33" s="105" t="s">
        <v>348</v>
      </c>
      <c r="F33" s="102">
        <v>1</v>
      </c>
      <c r="G33" s="37" t="s">
        <v>46</v>
      </c>
      <c r="H33" s="7" t="s">
        <v>155</v>
      </c>
      <c r="I33" s="101">
        <v>35840</v>
      </c>
      <c r="J33" s="101"/>
      <c r="K33" s="50" t="s">
        <v>191</v>
      </c>
      <c r="L33" s="103">
        <f t="shared" ca="1" si="10"/>
        <v>1298386</v>
      </c>
      <c r="M33" s="103">
        <f t="shared" ca="1" si="25"/>
        <v>801901</v>
      </c>
      <c r="N33" s="103">
        <f t="shared" ca="1" si="25"/>
        <v>177320</v>
      </c>
      <c r="O33" s="103">
        <f t="shared" ca="1" si="25"/>
        <v>-2140</v>
      </c>
      <c r="P33" s="103">
        <f t="shared" ca="1" si="25"/>
        <v>-22695</v>
      </c>
      <c r="Q33" s="103">
        <f t="shared" ca="1" si="25"/>
        <v>344000</v>
      </c>
      <c r="R33" s="103">
        <f t="shared" ca="1" si="25"/>
        <v>0</v>
      </c>
      <c r="S33" s="102" t="b">
        <f t="shared" ca="1" si="1"/>
        <v>1</v>
      </c>
      <c r="T33" s="88"/>
      <c r="V33" s="104"/>
    </row>
    <row r="34" spans="1:22" s="100" customFormat="1" ht="21" customHeight="1" x14ac:dyDescent="0.15">
      <c r="A34" s="41">
        <f t="shared" si="2"/>
        <v>31</v>
      </c>
      <c r="B34" s="41">
        <v>5</v>
      </c>
      <c r="C34" s="41">
        <v>7</v>
      </c>
      <c r="D34" s="41">
        <v>11</v>
      </c>
      <c r="E34" s="105" t="s">
        <v>154</v>
      </c>
      <c r="F34" s="102">
        <v>1</v>
      </c>
      <c r="G34" s="37" t="s">
        <v>46</v>
      </c>
      <c r="H34" s="7" t="s">
        <v>163</v>
      </c>
      <c r="I34" s="101">
        <v>11301</v>
      </c>
      <c r="J34" s="101"/>
      <c r="K34" s="50" t="s">
        <v>191</v>
      </c>
      <c r="L34" s="103">
        <f t="shared" ref="L34" ca="1" si="29">OFFSET(L34,-1,0)+J34-I34</f>
        <v>1287085</v>
      </c>
      <c r="M34" s="103">
        <f t="shared" ca="1" si="25"/>
        <v>801901</v>
      </c>
      <c r="N34" s="103">
        <f t="shared" ca="1" si="25"/>
        <v>177320</v>
      </c>
      <c r="O34" s="103">
        <f t="shared" ca="1" si="25"/>
        <v>-2140</v>
      </c>
      <c r="P34" s="103">
        <f t="shared" ca="1" si="25"/>
        <v>-33996</v>
      </c>
      <c r="Q34" s="103">
        <f t="shared" ca="1" si="25"/>
        <v>344000</v>
      </c>
      <c r="R34" s="103">
        <f t="shared" ca="1" si="25"/>
        <v>0</v>
      </c>
      <c r="S34" s="102" t="b">
        <f t="shared" ref="S34" ca="1" si="30">L34=SUM(M34:R34)</f>
        <v>1</v>
      </c>
      <c r="T34" s="88"/>
      <c r="V34" s="104"/>
    </row>
    <row r="35" spans="1:22" s="100" customFormat="1" ht="21" customHeight="1" x14ac:dyDescent="0.15">
      <c r="A35" s="41">
        <f t="shared" si="2"/>
        <v>32</v>
      </c>
      <c r="B35" s="41">
        <v>5</v>
      </c>
      <c r="C35" s="41">
        <v>7</v>
      </c>
      <c r="D35" s="41">
        <v>11</v>
      </c>
      <c r="E35" s="105" t="s">
        <v>153</v>
      </c>
      <c r="F35" s="102">
        <v>1</v>
      </c>
      <c r="G35" s="37" t="s">
        <v>46</v>
      </c>
      <c r="H35" s="7" t="s">
        <v>152</v>
      </c>
      <c r="I35" s="101">
        <v>8180</v>
      </c>
      <c r="J35" s="101"/>
      <c r="K35" s="50" t="s">
        <v>191</v>
      </c>
      <c r="L35" s="103">
        <f t="shared" ca="1" si="10"/>
        <v>1278905</v>
      </c>
      <c r="M35" s="103">
        <f t="shared" ca="1" si="25"/>
        <v>801901</v>
      </c>
      <c r="N35" s="103">
        <f t="shared" ca="1" si="25"/>
        <v>177320</v>
      </c>
      <c r="O35" s="103">
        <f t="shared" ca="1" si="25"/>
        <v>-2140</v>
      </c>
      <c r="P35" s="103">
        <f t="shared" ca="1" si="25"/>
        <v>-42176</v>
      </c>
      <c r="Q35" s="103">
        <f t="shared" ca="1" si="25"/>
        <v>344000</v>
      </c>
      <c r="R35" s="103">
        <f t="shared" ca="1" si="25"/>
        <v>0</v>
      </c>
      <c r="S35" s="102" t="b">
        <f t="shared" ca="1" si="1"/>
        <v>1</v>
      </c>
      <c r="T35" s="88"/>
      <c r="V35" s="104"/>
    </row>
    <row r="36" spans="1:22" s="100" customFormat="1" ht="21" customHeight="1" x14ac:dyDescent="0.15">
      <c r="A36" s="41">
        <f t="shared" si="2"/>
        <v>33</v>
      </c>
      <c r="B36" s="41">
        <v>5</v>
      </c>
      <c r="C36" s="41">
        <v>7</v>
      </c>
      <c r="D36" s="41">
        <v>11</v>
      </c>
      <c r="E36" s="105" t="s">
        <v>151</v>
      </c>
      <c r="F36" s="102">
        <v>1</v>
      </c>
      <c r="G36" s="37" t="s">
        <v>46</v>
      </c>
      <c r="H36" s="7" t="s">
        <v>152</v>
      </c>
      <c r="I36" s="101">
        <v>11440</v>
      </c>
      <c r="J36" s="101"/>
      <c r="K36" s="50" t="s">
        <v>191</v>
      </c>
      <c r="L36" s="103">
        <f t="shared" ref="L36:L37" ca="1" si="31">OFFSET(L36,-1,0)+J36-I36</f>
        <v>1267465</v>
      </c>
      <c r="M36" s="103">
        <f t="shared" ca="1" si="25"/>
        <v>801901</v>
      </c>
      <c r="N36" s="103">
        <f t="shared" ca="1" si="25"/>
        <v>177320</v>
      </c>
      <c r="O36" s="103">
        <f t="shared" ca="1" si="25"/>
        <v>-2140</v>
      </c>
      <c r="P36" s="103">
        <f t="shared" ca="1" si="25"/>
        <v>-53616</v>
      </c>
      <c r="Q36" s="103">
        <f t="shared" ca="1" si="25"/>
        <v>344000</v>
      </c>
      <c r="R36" s="103">
        <f t="shared" ca="1" si="25"/>
        <v>0</v>
      </c>
      <c r="S36" s="102" t="b">
        <f t="shared" ref="S36:S37" ca="1" si="32">L36=SUM(M36:R36)</f>
        <v>1</v>
      </c>
      <c r="T36" s="88"/>
      <c r="V36" s="104"/>
    </row>
    <row r="37" spans="1:22" s="100" customFormat="1" ht="21" customHeight="1" x14ac:dyDescent="0.15">
      <c r="A37" s="41">
        <f t="shared" si="2"/>
        <v>34</v>
      </c>
      <c r="B37" s="41">
        <v>5</v>
      </c>
      <c r="C37" s="41">
        <v>7</v>
      </c>
      <c r="D37" s="41">
        <v>13</v>
      </c>
      <c r="E37" s="105" t="s">
        <v>633</v>
      </c>
      <c r="F37" s="102">
        <v>11</v>
      </c>
      <c r="G37" s="37" t="s">
        <v>233</v>
      </c>
      <c r="H37" s="4" t="s">
        <v>629</v>
      </c>
      <c r="I37" s="101">
        <v>1000</v>
      </c>
      <c r="J37" s="101"/>
      <c r="K37" s="102" t="s">
        <v>199</v>
      </c>
      <c r="L37" s="103">
        <f t="shared" ca="1" si="31"/>
        <v>1266465</v>
      </c>
      <c r="M37" s="103">
        <f t="shared" ca="1" si="6"/>
        <v>801901</v>
      </c>
      <c r="N37" s="103">
        <f t="shared" ca="1" si="6"/>
        <v>176320</v>
      </c>
      <c r="O37" s="103">
        <f t="shared" ca="1" si="6"/>
        <v>-2140</v>
      </c>
      <c r="P37" s="103">
        <f t="shared" ca="1" si="6"/>
        <v>-53616</v>
      </c>
      <c r="Q37" s="103">
        <f t="shared" ca="1" si="6"/>
        <v>344000</v>
      </c>
      <c r="R37" s="103">
        <f t="shared" ca="1" si="5"/>
        <v>0</v>
      </c>
      <c r="S37" s="102" t="b">
        <f t="shared" ca="1" si="32"/>
        <v>1</v>
      </c>
      <c r="T37" s="88" t="s">
        <v>155</v>
      </c>
      <c r="V37" s="104"/>
    </row>
    <row r="38" spans="1:22" s="100" customFormat="1" ht="21" customHeight="1" x14ac:dyDescent="0.15">
      <c r="A38" s="41">
        <f t="shared" si="2"/>
        <v>35</v>
      </c>
      <c r="B38" s="41">
        <v>5</v>
      </c>
      <c r="C38" s="41">
        <v>7</v>
      </c>
      <c r="D38" s="41">
        <v>13</v>
      </c>
      <c r="E38" s="105" t="s">
        <v>250</v>
      </c>
      <c r="F38" s="102">
        <v>6</v>
      </c>
      <c r="G38" s="37" t="s">
        <v>618</v>
      </c>
      <c r="H38" s="106" t="s">
        <v>30</v>
      </c>
      <c r="I38" s="101">
        <v>3520</v>
      </c>
      <c r="J38" s="101"/>
      <c r="K38" s="102" t="s">
        <v>199</v>
      </c>
      <c r="L38" s="103">
        <f t="shared" ca="1" si="10"/>
        <v>1262945</v>
      </c>
      <c r="M38" s="103">
        <f t="shared" ca="1" si="6"/>
        <v>801901</v>
      </c>
      <c r="N38" s="103">
        <f t="shared" ca="1" si="6"/>
        <v>172800</v>
      </c>
      <c r="O38" s="103">
        <f t="shared" ca="1" si="6"/>
        <v>-2140</v>
      </c>
      <c r="P38" s="103">
        <f t="shared" ca="1" si="6"/>
        <v>-53616</v>
      </c>
      <c r="Q38" s="103">
        <f t="shared" ca="1" si="6"/>
        <v>344000</v>
      </c>
      <c r="R38" s="103">
        <f t="shared" ca="1" si="5"/>
        <v>0</v>
      </c>
      <c r="S38" s="102" t="b">
        <f t="shared" ca="1" si="1"/>
        <v>1</v>
      </c>
      <c r="T38" s="88"/>
      <c r="V38" s="104"/>
    </row>
    <row r="39" spans="1:22" s="100" customFormat="1" ht="21" customHeight="1" x14ac:dyDescent="0.15">
      <c r="A39" s="41">
        <f t="shared" si="2"/>
        <v>36</v>
      </c>
      <c r="B39" s="41">
        <v>5</v>
      </c>
      <c r="C39" s="41">
        <v>7</v>
      </c>
      <c r="D39" s="41">
        <v>14</v>
      </c>
      <c r="E39" s="7" t="s">
        <v>178</v>
      </c>
      <c r="F39" s="102" t="s">
        <v>224</v>
      </c>
      <c r="G39" s="37" t="s">
        <v>395</v>
      </c>
      <c r="H39" s="4" t="s">
        <v>624</v>
      </c>
      <c r="I39" s="101"/>
      <c r="J39" s="101">
        <v>39000</v>
      </c>
      <c r="K39" s="102" t="s">
        <v>199</v>
      </c>
      <c r="L39" s="103">
        <f t="shared" ref="L39:L46" ca="1" si="33">OFFSET(L39,-1,0)+J39-I39</f>
        <v>1301945</v>
      </c>
      <c r="M39" s="103">
        <f t="shared" ca="1" si="6"/>
        <v>801901</v>
      </c>
      <c r="N39" s="103">
        <f t="shared" ca="1" si="6"/>
        <v>211800</v>
      </c>
      <c r="O39" s="103">
        <f t="shared" ca="1" si="6"/>
        <v>-2140</v>
      </c>
      <c r="P39" s="103">
        <f t="shared" ca="1" si="6"/>
        <v>-53616</v>
      </c>
      <c r="Q39" s="103">
        <f t="shared" ca="1" si="6"/>
        <v>344000</v>
      </c>
      <c r="R39" s="103">
        <f t="shared" ca="1" si="5"/>
        <v>0</v>
      </c>
      <c r="S39" s="102" t="b">
        <f t="shared" ca="1" si="1"/>
        <v>1</v>
      </c>
      <c r="T39" s="88"/>
      <c r="V39" s="104"/>
    </row>
    <row r="40" spans="1:22" s="100" customFormat="1" ht="21" customHeight="1" x14ac:dyDescent="0.15">
      <c r="A40" s="41">
        <f t="shared" si="2"/>
        <v>37</v>
      </c>
      <c r="B40" s="41">
        <v>5</v>
      </c>
      <c r="C40" s="41">
        <v>7</v>
      </c>
      <c r="D40" s="41">
        <v>14</v>
      </c>
      <c r="E40" s="105" t="s">
        <v>41</v>
      </c>
      <c r="F40" s="102" t="s">
        <v>225</v>
      </c>
      <c r="G40" s="37" t="s">
        <v>41</v>
      </c>
      <c r="H40" s="106" t="s">
        <v>51</v>
      </c>
      <c r="I40" s="101"/>
      <c r="J40" s="101">
        <v>5000</v>
      </c>
      <c r="K40" s="102" t="s">
        <v>199</v>
      </c>
      <c r="L40" s="103">
        <f t="shared" ca="1" si="33"/>
        <v>1306945</v>
      </c>
      <c r="M40" s="103">
        <f t="shared" ca="1" si="6"/>
        <v>801901</v>
      </c>
      <c r="N40" s="103">
        <f t="shared" ca="1" si="6"/>
        <v>216800</v>
      </c>
      <c r="O40" s="103">
        <f t="shared" ca="1" si="6"/>
        <v>-2140</v>
      </c>
      <c r="P40" s="103">
        <f t="shared" ca="1" si="6"/>
        <v>-53616</v>
      </c>
      <c r="Q40" s="103">
        <f t="shared" ca="1" si="6"/>
        <v>344000</v>
      </c>
      <c r="R40" s="103">
        <f t="shared" ca="1" si="5"/>
        <v>0</v>
      </c>
      <c r="S40" s="102" t="b">
        <f t="shared" ca="1" si="1"/>
        <v>1</v>
      </c>
      <c r="T40" s="88"/>
      <c r="V40" s="104"/>
    </row>
    <row r="41" spans="1:22" s="100" customFormat="1" ht="21" customHeight="1" x14ac:dyDescent="0.15">
      <c r="A41" s="41">
        <f t="shared" si="2"/>
        <v>38</v>
      </c>
      <c r="B41" s="41">
        <v>5</v>
      </c>
      <c r="C41" s="41">
        <v>7</v>
      </c>
      <c r="D41" s="41">
        <v>14</v>
      </c>
      <c r="E41" s="105" t="s">
        <v>598</v>
      </c>
      <c r="F41" s="102">
        <v>11</v>
      </c>
      <c r="G41" s="37" t="s">
        <v>233</v>
      </c>
      <c r="H41" s="7" t="s">
        <v>599</v>
      </c>
      <c r="I41" s="255">
        <v>0</v>
      </c>
      <c r="J41" s="101"/>
      <c r="K41" s="50" t="s">
        <v>200</v>
      </c>
      <c r="L41" s="103">
        <f t="shared" ca="1" si="33"/>
        <v>1306945</v>
      </c>
      <c r="M41" s="103">
        <f t="shared" ca="1" si="6"/>
        <v>801901</v>
      </c>
      <c r="N41" s="103">
        <f t="shared" ca="1" si="6"/>
        <v>216800</v>
      </c>
      <c r="O41" s="103">
        <f t="shared" ca="1" si="6"/>
        <v>-2140</v>
      </c>
      <c r="P41" s="103">
        <f t="shared" ca="1" si="6"/>
        <v>-53616</v>
      </c>
      <c r="Q41" s="103">
        <f t="shared" ca="1" si="6"/>
        <v>344000</v>
      </c>
      <c r="R41" s="103">
        <f t="shared" ca="1" si="6"/>
        <v>0</v>
      </c>
      <c r="S41" s="102" t="b">
        <f t="shared" ca="1" si="1"/>
        <v>1</v>
      </c>
      <c r="T41" s="88" t="s">
        <v>641</v>
      </c>
      <c r="V41" s="104"/>
    </row>
    <row r="42" spans="1:22" s="100" customFormat="1" ht="21" customHeight="1" x14ac:dyDescent="0.15">
      <c r="A42" s="41">
        <f t="shared" si="2"/>
        <v>39</v>
      </c>
      <c r="B42" s="41">
        <v>5</v>
      </c>
      <c r="C42" s="41">
        <v>7</v>
      </c>
      <c r="D42" s="41">
        <v>14</v>
      </c>
      <c r="E42" s="105" t="s">
        <v>252</v>
      </c>
      <c r="F42" s="102">
        <v>2</v>
      </c>
      <c r="G42" s="37" t="s">
        <v>414</v>
      </c>
      <c r="H42" s="4" t="s">
        <v>134</v>
      </c>
      <c r="I42" s="101">
        <v>4000</v>
      </c>
      <c r="J42" s="101"/>
      <c r="K42" s="102" t="s">
        <v>199</v>
      </c>
      <c r="L42" s="103">
        <f t="shared" ca="1" si="33"/>
        <v>1302945</v>
      </c>
      <c r="M42" s="103">
        <f t="shared" ca="1" si="6"/>
        <v>801901</v>
      </c>
      <c r="N42" s="103">
        <f t="shared" ca="1" si="6"/>
        <v>212800</v>
      </c>
      <c r="O42" s="103">
        <f t="shared" ca="1" si="6"/>
        <v>-2140</v>
      </c>
      <c r="P42" s="103">
        <f t="shared" ca="1" si="6"/>
        <v>-53616</v>
      </c>
      <c r="Q42" s="103">
        <f t="shared" ca="1" si="6"/>
        <v>344000</v>
      </c>
      <c r="R42" s="103">
        <f t="shared" ca="1" si="5"/>
        <v>0</v>
      </c>
      <c r="S42" s="102" t="b">
        <f t="shared" ca="1" si="1"/>
        <v>1</v>
      </c>
      <c r="T42" s="88"/>
      <c r="V42" s="104"/>
    </row>
    <row r="43" spans="1:22" s="100" customFormat="1" ht="21" customHeight="1" x14ac:dyDescent="0.15">
      <c r="A43" s="41">
        <f t="shared" si="2"/>
        <v>40</v>
      </c>
      <c r="B43" s="41">
        <v>5</v>
      </c>
      <c r="C43" s="41">
        <v>7</v>
      </c>
      <c r="D43" s="41">
        <v>14</v>
      </c>
      <c r="E43" s="105" t="s">
        <v>590</v>
      </c>
      <c r="F43" s="102">
        <v>7</v>
      </c>
      <c r="G43" s="37" t="s">
        <v>620</v>
      </c>
      <c r="H43" s="7" t="s">
        <v>150</v>
      </c>
      <c r="I43" s="101">
        <v>5862</v>
      </c>
      <c r="J43" s="101"/>
      <c r="K43" s="50" t="s">
        <v>191</v>
      </c>
      <c r="L43" s="103">
        <f t="shared" ca="1" si="33"/>
        <v>1297083</v>
      </c>
      <c r="M43" s="103">
        <f t="shared" ca="1" si="6"/>
        <v>801901</v>
      </c>
      <c r="N43" s="103">
        <f t="shared" ca="1" si="6"/>
        <v>212800</v>
      </c>
      <c r="O43" s="103">
        <f t="shared" ca="1" si="6"/>
        <v>-2140</v>
      </c>
      <c r="P43" s="103">
        <f t="shared" ca="1" si="6"/>
        <v>-59478</v>
      </c>
      <c r="Q43" s="103">
        <f t="shared" ca="1" si="6"/>
        <v>344000</v>
      </c>
      <c r="R43" s="103">
        <f t="shared" ca="1" si="5"/>
        <v>0</v>
      </c>
      <c r="S43" s="102" t="b">
        <f t="shared" ca="1" si="1"/>
        <v>1</v>
      </c>
      <c r="T43" s="88"/>
      <c r="V43" s="104"/>
    </row>
    <row r="44" spans="1:22" s="100" customFormat="1" ht="21" customHeight="1" x14ac:dyDescent="0.15">
      <c r="A44" s="41">
        <f t="shared" si="2"/>
        <v>41</v>
      </c>
      <c r="B44" s="41">
        <v>5</v>
      </c>
      <c r="C44" s="41">
        <v>7</v>
      </c>
      <c r="D44" s="41">
        <v>15</v>
      </c>
      <c r="E44" s="105" t="s">
        <v>594</v>
      </c>
      <c r="F44" s="102">
        <v>3</v>
      </c>
      <c r="G44" s="37" t="s">
        <v>415</v>
      </c>
      <c r="H44" s="4" t="s">
        <v>274</v>
      </c>
      <c r="I44" s="101">
        <v>10000</v>
      </c>
      <c r="J44" s="101"/>
      <c r="K44" s="50" t="s">
        <v>200</v>
      </c>
      <c r="L44" s="103">
        <f t="shared" ca="1" si="33"/>
        <v>1287083</v>
      </c>
      <c r="M44" s="103">
        <f t="shared" ca="1" si="6"/>
        <v>801901</v>
      </c>
      <c r="N44" s="103">
        <f t="shared" ca="1" si="6"/>
        <v>212800</v>
      </c>
      <c r="O44" s="103">
        <f t="shared" ca="1" si="6"/>
        <v>-12140</v>
      </c>
      <c r="P44" s="103">
        <f t="shared" ca="1" si="6"/>
        <v>-59478</v>
      </c>
      <c r="Q44" s="103">
        <f t="shared" ca="1" si="6"/>
        <v>344000</v>
      </c>
      <c r="R44" s="103">
        <f t="shared" ca="1" si="5"/>
        <v>0</v>
      </c>
      <c r="S44" s="102" t="b">
        <f t="shared" ref="S44" ca="1" si="34">L44=SUM(M44:R44)</f>
        <v>1</v>
      </c>
      <c r="T44" s="88" t="s">
        <v>355</v>
      </c>
      <c r="V44" s="104"/>
    </row>
    <row r="45" spans="1:22" s="100" customFormat="1" ht="21" customHeight="1" x14ac:dyDescent="0.15">
      <c r="A45" s="41">
        <f t="shared" si="2"/>
        <v>42</v>
      </c>
      <c r="B45" s="41">
        <v>5</v>
      </c>
      <c r="C45" s="41">
        <v>7</v>
      </c>
      <c r="D45" s="41">
        <v>15</v>
      </c>
      <c r="E45" s="105" t="s">
        <v>148</v>
      </c>
      <c r="F45" s="102">
        <v>2</v>
      </c>
      <c r="G45" s="37" t="s">
        <v>414</v>
      </c>
      <c r="H45" s="4" t="s">
        <v>147</v>
      </c>
      <c r="I45" s="101">
        <v>3800</v>
      </c>
      <c r="J45" s="101"/>
      <c r="K45" s="50" t="s">
        <v>191</v>
      </c>
      <c r="L45" s="103">
        <f t="shared" ref="L45" ca="1" si="35">OFFSET(L45,-1,0)+J45-I45</f>
        <v>1283283</v>
      </c>
      <c r="M45" s="103">
        <f t="shared" ca="1" si="6"/>
        <v>801901</v>
      </c>
      <c r="N45" s="103">
        <f t="shared" ca="1" si="6"/>
        <v>212800</v>
      </c>
      <c r="O45" s="103">
        <f t="shared" ca="1" si="6"/>
        <v>-12140</v>
      </c>
      <c r="P45" s="103">
        <f t="shared" ca="1" si="6"/>
        <v>-63278</v>
      </c>
      <c r="Q45" s="103">
        <f t="shared" ca="1" si="6"/>
        <v>344000</v>
      </c>
      <c r="R45" s="103">
        <f t="shared" ca="1" si="5"/>
        <v>0</v>
      </c>
      <c r="S45" s="102" t="b">
        <f t="shared" ref="S45" ca="1" si="36">L45=SUM(M45:R45)</f>
        <v>1</v>
      </c>
      <c r="T45" s="88"/>
      <c r="V45" s="104"/>
    </row>
    <row r="46" spans="1:22" s="100" customFormat="1" ht="21" customHeight="1" x14ac:dyDescent="0.15">
      <c r="A46" s="41">
        <f t="shared" si="2"/>
        <v>43</v>
      </c>
      <c r="B46" s="41">
        <v>5</v>
      </c>
      <c r="C46" s="41">
        <v>7</v>
      </c>
      <c r="D46" s="41">
        <v>15</v>
      </c>
      <c r="E46" s="105" t="s">
        <v>346</v>
      </c>
      <c r="F46" s="102">
        <v>2</v>
      </c>
      <c r="G46" s="37" t="s">
        <v>414</v>
      </c>
      <c r="H46" s="4" t="s">
        <v>347</v>
      </c>
      <c r="I46" s="101">
        <v>1188</v>
      </c>
      <c r="J46" s="101"/>
      <c r="K46" s="50" t="s">
        <v>191</v>
      </c>
      <c r="L46" s="103">
        <f t="shared" ca="1" si="33"/>
        <v>1282095</v>
      </c>
      <c r="M46" s="103">
        <f t="shared" ca="1" si="6"/>
        <v>801901</v>
      </c>
      <c r="N46" s="103">
        <f t="shared" ca="1" si="6"/>
        <v>212800</v>
      </c>
      <c r="O46" s="103">
        <f t="shared" ca="1" si="6"/>
        <v>-12140</v>
      </c>
      <c r="P46" s="103">
        <f t="shared" ca="1" si="6"/>
        <v>-64466</v>
      </c>
      <c r="Q46" s="103">
        <f t="shared" ca="1" si="6"/>
        <v>344000</v>
      </c>
      <c r="R46" s="103">
        <f t="shared" ca="1" si="5"/>
        <v>0</v>
      </c>
      <c r="S46" s="102" t="b">
        <f t="shared" ca="1" si="1"/>
        <v>1</v>
      </c>
      <c r="T46" s="88"/>
      <c r="V46" s="104"/>
    </row>
    <row r="47" spans="1:22" s="100" customFormat="1" ht="21" customHeight="1" x14ac:dyDescent="0.15">
      <c r="A47" s="41">
        <f t="shared" si="2"/>
        <v>44</v>
      </c>
      <c r="B47" s="41">
        <v>5</v>
      </c>
      <c r="C47" s="41">
        <v>7</v>
      </c>
      <c r="D47" s="41">
        <v>15</v>
      </c>
      <c r="E47" s="105" t="s">
        <v>251</v>
      </c>
      <c r="F47" s="102">
        <v>6</v>
      </c>
      <c r="G47" s="37" t="s">
        <v>618</v>
      </c>
      <c r="H47" s="106" t="s">
        <v>30</v>
      </c>
      <c r="I47" s="101">
        <v>2310</v>
      </c>
      <c r="J47" s="101"/>
      <c r="K47" s="102" t="s">
        <v>199</v>
      </c>
      <c r="L47" s="103">
        <f t="shared" ca="1" si="10"/>
        <v>1279785</v>
      </c>
      <c r="M47" s="103">
        <f t="shared" ca="1" si="6"/>
        <v>801901</v>
      </c>
      <c r="N47" s="103">
        <f t="shared" ca="1" si="6"/>
        <v>210490</v>
      </c>
      <c r="O47" s="103">
        <f t="shared" ca="1" si="6"/>
        <v>-12140</v>
      </c>
      <c r="P47" s="103">
        <f t="shared" ca="1" si="6"/>
        <v>-64466</v>
      </c>
      <c r="Q47" s="103">
        <f t="shared" ca="1" si="6"/>
        <v>344000</v>
      </c>
      <c r="R47" s="103">
        <f t="shared" ca="1" si="5"/>
        <v>0</v>
      </c>
      <c r="S47" s="102" t="b">
        <f t="shared" ca="1" si="1"/>
        <v>1</v>
      </c>
      <c r="T47" s="157" t="str">
        <f>"堀江さんに返金" &amp; I29+I38+I47</f>
        <v>堀江さんに返金6714</v>
      </c>
      <c r="V47" s="104"/>
    </row>
    <row r="48" spans="1:22" s="100" customFormat="1" ht="21" customHeight="1" x14ac:dyDescent="0.15">
      <c r="A48" s="41">
        <f t="shared" si="2"/>
        <v>45</v>
      </c>
      <c r="B48" s="41">
        <v>5</v>
      </c>
      <c r="C48" s="41">
        <v>7</v>
      </c>
      <c r="D48" s="41">
        <v>15</v>
      </c>
      <c r="E48" s="105" t="s">
        <v>257</v>
      </c>
      <c r="F48" s="102" t="s">
        <v>225</v>
      </c>
      <c r="G48" s="37" t="s">
        <v>41</v>
      </c>
      <c r="H48" s="4"/>
      <c r="I48" s="101"/>
      <c r="J48" s="101">
        <v>123000</v>
      </c>
      <c r="K48" s="102" t="s">
        <v>199</v>
      </c>
      <c r="L48" s="103">
        <f t="shared" ca="1" si="10"/>
        <v>1402785</v>
      </c>
      <c r="M48" s="103">
        <f t="shared" ca="1" si="6"/>
        <v>801901</v>
      </c>
      <c r="N48" s="103">
        <f t="shared" ca="1" si="6"/>
        <v>333490</v>
      </c>
      <c r="O48" s="103">
        <f t="shared" ca="1" si="6"/>
        <v>-12140</v>
      </c>
      <c r="P48" s="103">
        <f t="shared" ca="1" si="6"/>
        <v>-64466</v>
      </c>
      <c r="Q48" s="103">
        <f t="shared" ca="1" si="6"/>
        <v>344000</v>
      </c>
      <c r="R48" s="103">
        <f t="shared" ca="1" si="5"/>
        <v>0</v>
      </c>
      <c r="S48" s="102" t="b">
        <f t="shared" ca="1" si="1"/>
        <v>1</v>
      </c>
      <c r="T48" s="88" t="s">
        <v>258</v>
      </c>
      <c r="V48" s="104"/>
    </row>
    <row r="49" spans="1:22" s="100" customFormat="1" ht="21" customHeight="1" x14ac:dyDescent="0.15">
      <c r="A49" s="41">
        <f t="shared" si="2"/>
        <v>46</v>
      </c>
      <c r="B49" s="41">
        <v>5</v>
      </c>
      <c r="C49" s="41">
        <v>7</v>
      </c>
      <c r="D49" s="41">
        <v>15</v>
      </c>
      <c r="E49" s="105" t="s">
        <v>259</v>
      </c>
      <c r="F49" s="102" t="s">
        <v>226</v>
      </c>
      <c r="G49" s="37" t="s">
        <v>48</v>
      </c>
      <c r="H49" s="106"/>
      <c r="I49" s="101"/>
      <c r="J49" s="101">
        <v>15000</v>
      </c>
      <c r="K49" s="102" t="s">
        <v>199</v>
      </c>
      <c r="L49" s="103">
        <f t="shared" ca="1" si="10"/>
        <v>1417785</v>
      </c>
      <c r="M49" s="103">
        <f t="shared" ca="1" si="6"/>
        <v>801901</v>
      </c>
      <c r="N49" s="103">
        <f t="shared" ca="1" si="6"/>
        <v>348490</v>
      </c>
      <c r="O49" s="103">
        <f t="shared" ca="1" si="6"/>
        <v>-12140</v>
      </c>
      <c r="P49" s="103">
        <f t="shared" ca="1" si="6"/>
        <v>-64466</v>
      </c>
      <c r="Q49" s="103">
        <f t="shared" ca="1" si="6"/>
        <v>344000</v>
      </c>
      <c r="R49" s="103">
        <f t="shared" ca="1" si="5"/>
        <v>0</v>
      </c>
      <c r="S49" s="102" t="b">
        <f t="shared" ca="1" si="1"/>
        <v>1</v>
      </c>
      <c r="T49" s="88"/>
      <c r="V49" s="104"/>
    </row>
    <row r="50" spans="1:22" s="100" customFormat="1" ht="21" customHeight="1" x14ac:dyDescent="0.15">
      <c r="A50" s="41">
        <f t="shared" si="2"/>
        <v>47</v>
      </c>
      <c r="B50" s="41">
        <v>5</v>
      </c>
      <c r="C50" s="41">
        <v>7</v>
      </c>
      <c r="D50" s="41">
        <v>16</v>
      </c>
      <c r="E50" s="105" t="s">
        <v>260</v>
      </c>
      <c r="F50" s="102" t="s">
        <v>225</v>
      </c>
      <c r="G50" s="37" t="s">
        <v>41</v>
      </c>
      <c r="H50" s="4"/>
      <c r="I50" s="101"/>
      <c r="J50" s="101">
        <v>23000</v>
      </c>
      <c r="K50" s="102" t="s">
        <v>199</v>
      </c>
      <c r="L50" s="103">
        <f t="shared" ca="1" si="3"/>
        <v>1440785</v>
      </c>
      <c r="M50" s="103">
        <f t="shared" ref="M50:Q59" ca="1" si="37">IF($K50=M$2,OFFSET(M50,-1,0)+$J50-$I50,OFFSET(M50,-1,0))</f>
        <v>801901</v>
      </c>
      <c r="N50" s="103">
        <f t="shared" ca="1" si="37"/>
        <v>371490</v>
      </c>
      <c r="O50" s="103">
        <f t="shared" ca="1" si="37"/>
        <v>-12140</v>
      </c>
      <c r="P50" s="103">
        <f t="shared" ca="1" si="37"/>
        <v>-64466</v>
      </c>
      <c r="Q50" s="103">
        <f t="shared" ca="1" si="37"/>
        <v>344000</v>
      </c>
      <c r="R50" s="103">
        <f t="shared" ca="1" si="5"/>
        <v>0</v>
      </c>
      <c r="S50" s="102" t="b">
        <f t="shared" ca="1" si="1"/>
        <v>1</v>
      </c>
      <c r="T50" s="88"/>
      <c r="V50" s="104"/>
    </row>
    <row r="51" spans="1:22" s="100" customFormat="1" ht="21" customHeight="1" x14ac:dyDescent="0.15">
      <c r="A51" s="41">
        <f t="shared" si="2"/>
        <v>48</v>
      </c>
      <c r="B51" s="41">
        <v>5</v>
      </c>
      <c r="C51" s="41">
        <v>7</v>
      </c>
      <c r="D51" s="41">
        <v>16</v>
      </c>
      <c r="E51" s="105" t="s">
        <v>261</v>
      </c>
      <c r="F51" s="102" t="s">
        <v>226</v>
      </c>
      <c r="G51" s="37" t="s">
        <v>48</v>
      </c>
      <c r="H51" s="106"/>
      <c r="I51" s="101"/>
      <c r="J51" s="101">
        <v>192000</v>
      </c>
      <c r="K51" s="102" t="s">
        <v>199</v>
      </c>
      <c r="L51" s="103">
        <f t="shared" ca="1" si="3"/>
        <v>1632785</v>
      </c>
      <c r="M51" s="103">
        <f t="shared" ca="1" si="37"/>
        <v>801901</v>
      </c>
      <c r="N51" s="103">
        <f t="shared" ca="1" si="37"/>
        <v>563490</v>
      </c>
      <c r="O51" s="103">
        <f t="shared" ca="1" si="37"/>
        <v>-12140</v>
      </c>
      <c r="P51" s="103">
        <f t="shared" ca="1" si="37"/>
        <v>-64466</v>
      </c>
      <c r="Q51" s="103">
        <f t="shared" ca="1" si="37"/>
        <v>344000</v>
      </c>
      <c r="R51" s="103">
        <f t="shared" ca="1" si="5"/>
        <v>0</v>
      </c>
      <c r="S51" s="102" t="b">
        <f t="shared" ca="1" si="1"/>
        <v>1</v>
      </c>
      <c r="T51" s="88"/>
      <c r="V51" s="104"/>
    </row>
    <row r="52" spans="1:22" s="100" customFormat="1" ht="21" customHeight="1" x14ac:dyDescent="0.15">
      <c r="A52" s="41">
        <f t="shared" si="2"/>
        <v>49</v>
      </c>
      <c r="B52" s="41">
        <v>5</v>
      </c>
      <c r="C52" s="41">
        <v>7</v>
      </c>
      <c r="D52" s="41">
        <v>16</v>
      </c>
      <c r="E52" s="105" t="s">
        <v>262</v>
      </c>
      <c r="F52" s="102" t="s">
        <v>226</v>
      </c>
      <c r="G52" s="37" t="s">
        <v>48</v>
      </c>
      <c r="H52" s="106" t="s">
        <v>263</v>
      </c>
      <c r="I52" s="101"/>
      <c r="J52" s="101">
        <v>2000</v>
      </c>
      <c r="K52" s="50" t="s">
        <v>242</v>
      </c>
      <c r="L52" s="103">
        <f t="shared" ca="1" si="3"/>
        <v>1634785</v>
      </c>
      <c r="M52" s="103">
        <f t="shared" ca="1" si="37"/>
        <v>801901</v>
      </c>
      <c r="N52" s="103">
        <f t="shared" ca="1" si="37"/>
        <v>563490</v>
      </c>
      <c r="O52" s="103">
        <f t="shared" ca="1" si="37"/>
        <v>-12140</v>
      </c>
      <c r="P52" s="103">
        <f t="shared" ca="1" si="37"/>
        <v>-64466</v>
      </c>
      <c r="Q52" s="103">
        <f t="shared" ca="1" si="37"/>
        <v>344000</v>
      </c>
      <c r="R52" s="103">
        <f t="shared" ca="1" si="5"/>
        <v>2000</v>
      </c>
      <c r="S52" s="102" t="b">
        <f ca="1">L52=SUM(M52:R52)</f>
        <v>1</v>
      </c>
      <c r="T52" s="88"/>
      <c r="V52" s="104"/>
    </row>
    <row r="53" spans="1:22" s="100" customFormat="1" ht="21" customHeight="1" x14ac:dyDescent="0.15">
      <c r="A53" s="41">
        <f t="shared" si="2"/>
        <v>50</v>
      </c>
      <c r="B53" s="41">
        <v>5</v>
      </c>
      <c r="C53" s="41">
        <v>7</v>
      </c>
      <c r="D53" s="41">
        <v>16</v>
      </c>
      <c r="E53" s="7" t="s">
        <v>121</v>
      </c>
      <c r="F53" s="102" t="s">
        <v>227</v>
      </c>
      <c r="G53" s="37" t="s">
        <v>396</v>
      </c>
      <c r="H53" s="106"/>
      <c r="I53" s="101"/>
      <c r="J53" s="101">
        <v>10000</v>
      </c>
      <c r="K53" s="102" t="s">
        <v>199</v>
      </c>
      <c r="L53" s="103">
        <f t="shared" ca="1" si="3"/>
        <v>1644785</v>
      </c>
      <c r="M53" s="103">
        <f t="shared" ca="1" si="37"/>
        <v>801901</v>
      </c>
      <c r="N53" s="103">
        <f t="shared" ca="1" si="37"/>
        <v>573490</v>
      </c>
      <c r="O53" s="103">
        <f t="shared" ca="1" si="37"/>
        <v>-12140</v>
      </c>
      <c r="P53" s="103">
        <f t="shared" ca="1" si="37"/>
        <v>-64466</v>
      </c>
      <c r="Q53" s="103">
        <f t="shared" ca="1" si="37"/>
        <v>344000</v>
      </c>
      <c r="R53" s="103">
        <f t="shared" ca="1" si="5"/>
        <v>2000</v>
      </c>
      <c r="S53" s="102" t="b">
        <f t="shared" ref="S53:S87" ca="1" si="38">L53=SUM(M53:R53)</f>
        <v>1</v>
      </c>
      <c r="T53" s="88"/>
      <c r="V53" s="104"/>
    </row>
    <row r="54" spans="1:22" s="100" customFormat="1" ht="21" customHeight="1" x14ac:dyDescent="0.15">
      <c r="A54" s="41">
        <f t="shared" si="2"/>
        <v>51</v>
      </c>
      <c r="B54" s="41">
        <v>5</v>
      </c>
      <c r="C54" s="41">
        <v>7</v>
      </c>
      <c r="D54" s="41">
        <v>16</v>
      </c>
      <c r="E54" s="105" t="s">
        <v>264</v>
      </c>
      <c r="F54" s="102">
        <v>5</v>
      </c>
      <c r="G54" s="37" t="s">
        <v>622</v>
      </c>
      <c r="H54" s="4" t="s">
        <v>78</v>
      </c>
      <c r="I54" s="101">
        <v>5000</v>
      </c>
      <c r="J54" s="101"/>
      <c r="K54" s="102" t="s">
        <v>199</v>
      </c>
      <c r="L54" s="103">
        <f t="shared" ca="1" si="3"/>
        <v>1639785</v>
      </c>
      <c r="M54" s="103">
        <f t="shared" ca="1" si="37"/>
        <v>801901</v>
      </c>
      <c r="N54" s="103">
        <f t="shared" ca="1" si="37"/>
        <v>568490</v>
      </c>
      <c r="O54" s="103">
        <f t="shared" ca="1" si="37"/>
        <v>-12140</v>
      </c>
      <c r="P54" s="103">
        <f t="shared" ca="1" si="37"/>
        <v>-64466</v>
      </c>
      <c r="Q54" s="103">
        <f t="shared" ca="1" si="37"/>
        <v>344000</v>
      </c>
      <c r="R54" s="103">
        <f t="shared" ca="1" si="5"/>
        <v>2000</v>
      </c>
      <c r="S54" s="102" t="b">
        <f t="shared" ca="1" si="38"/>
        <v>1</v>
      </c>
      <c r="T54" s="88"/>
      <c r="V54" s="104"/>
    </row>
    <row r="55" spans="1:22" s="100" customFormat="1" ht="21" customHeight="1" x14ac:dyDescent="0.15">
      <c r="A55" s="41">
        <f t="shared" si="2"/>
        <v>52</v>
      </c>
      <c r="B55" s="41">
        <v>5</v>
      </c>
      <c r="C55" s="41">
        <v>7</v>
      </c>
      <c r="D55" s="41">
        <v>16</v>
      </c>
      <c r="E55" s="105" t="s">
        <v>345</v>
      </c>
      <c r="F55" s="102">
        <v>1</v>
      </c>
      <c r="G55" s="37" t="s">
        <v>46</v>
      </c>
      <c r="H55" s="4" t="s">
        <v>144</v>
      </c>
      <c r="I55" s="101">
        <v>3684</v>
      </c>
      <c r="J55" s="101"/>
      <c r="K55" s="50" t="s">
        <v>191</v>
      </c>
      <c r="L55" s="103">
        <f t="shared" ref="L55" ca="1" si="39">OFFSET(L55,-1,0)+J55-I55</f>
        <v>1636101</v>
      </c>
      <c r="M55" s="103">
        <f t="shared" ca="1" si="37"/>
        <v>801901</v>
      </c>
      <c r="N55" s="103">
        <f t="shared" ca="1" si="37"/>
        <v>568490</v>
      </c>
      <c r="O55" s="103">
        <f t="shared" ca="1" si="37"/>
        <v>-12140</v>
      </c>
      <c r="P55" s="103">
        <f t="shared" ca="1" si="37"/>
        <v>-68150</v>
      </c>
      <c r="Q55" s="103">
        <f t="shared" ca="1" si="37"/>
        <v>344000</v>
      </c>
      <c r="R55" s="103">
        <f t="shared" ca="1" si="5"/>
        <v>2000</v>
      </c>
      <c r="S55" s="102" t="b">
        <f t="shared" ref="S55" ca="1" si="40">L55=SUM(M55:R55)</f>
        <v>1</v>
      </c>
      <c r="T55" s="88"/>
      <c r="V55" s="104"/>
    </row>
    <row r="56" spans="1:22" s="100" customFormat="1" ht="21" customHeight="1" x14ac:dyDescent="0.15">
      <c r="A56" s="41">
        <f t="shared" si="2"/>
        <v>53</v>
      </c>
      <c r="B56" s="41">
        <v>5</v>
      </c>
      <c r="C56" s="41">
        <v>7</v>
      </c>
      <c r="D56" s="41">
        <v>16</v>
      </c>
      <c r="E56" s="105" t="s">
        <v>344</v>
      </c>
      <c r="F56" s="102">
        <v>1</v>
      </c>
      <c r="G56" s="37" t="s">
        <v>46</v>
      </c>
      <c r="H56" s="4" t="s">
        <v>377</v>
      </c>
      <c r="I56" s="101">
        <v>3628</v>
      </c>
      <c r="J56" s="101"/>
      <c r="K56" s="50" t="s">
        <v>191</v>
      </c>
      <c r="L56" s="103">
        <f t="shared" ca="1" si="3"/>
        <v>1632473</v>
      </c>
      <c r="M56" s="103">
        <f t="shared" ca="1" si="37"/>
        <v>801901</v>
      </c>
      <c r="N56" s="103">
        <f t="shared" ca="1" si="37"/>
        <v>568490</v>
      </c>
      <c r="O56" s="103">
        <f t="shared" ca="1" si="37"/>
        <v>-12140</v>
      </c>
      <c r="P56" s="103">
        <f t="shared" ca="1" si="37"/>
        <v>-71778</v>
      </c>
      <c r="Q56" s="103">
        <f t="shared" ca="1" si="37"/>
        <v>344000</v>
      </c>
      <c r="R56" s="103">
        <f t="shared" ca="1" si="5"/>
        <v>2000</v>
      </c>
      <c r="S56" s="102" t="b">
        <f t="shared" ca="1" si="38"/>
        <v>1</v>
      </c>
      <c r="T56" s="88"/>
      <c r="V56" s="104"/>
    </row>
    <row r="57" spans="1:22" s="100" customFormat="1" ht="21" customHeight="1" x14ac:dyDescent="0.15">
      <c r="A57" s="41">
        <f t="shared" si="2"/>
        <v>54</v>
      </c>
      <c r="B57" s="41">
        <v>5</v>
      </c>
      <c r="C57" s="41">
        <v>7</v>
      </c>
      <c r="D57" s="41">
        <v>17</v>
      </c>
      <c r="E57" s="105" t="s">
        <v>266</v>
      </c>
      <c r="F57" s="102">
        <v>4</v>
      </c>
      <c r="G57" s="105" t="s">
        <v>266</v>
      </c>
      <c r="H57" s="7" t="s">
        <v>131</v>
      </c>
      <c r="I57" s="101">
        <v>5500</v>
      </c>
      <c r="J57" s="101"/>
      <c r="K57" s="102" t="s">
        <v>199</v>
      </c>
      <c r="L57" s="103">
        <f ca="1">OFFSET(L57,-1,0)+J57-I57</f>
        <v>1626973</v>
      </c>
      <c r="M57" s="103">
        <f t="shared" ref="M57:R57" ca="1" si="41">IF($K57=M$2,OFFSET(M57,-1,0)+$J57-$I57,OFFSET(M57,-1,0))</f>
        <v>801901</v>
      </c>
      <c r="N57" s="103">
        <f t="shared" ca="1" si="41"/>
        <v>562990</v>
      </c>
      <c r="O57" s="103">
        <f t="shared" ca="1" si="41"/>
        <v>-12140</v>
      </c>
      <c r="P57" s="103">
        <f t="shared" ca="1" si="41"/>
        <v>-71778</v>
      </c>
      <c r="Q57" s="103">
        <f t="shared" ca="1" si="41"/>
        <v>344000</v>
      </c>
      <c r="R57" s="103">
        <f t="shared" ca="1" si="41"/>
        <v>2000</v>
      </c>
      <c r="S57" s="102" t="b">
        <f ca="1">L57=SUM(M57:R57)</f>
        <v>1</v>
      </c>
      <c r="T57" s="88"/>
      <c r="V57" s="104"/>
    </row>
    <row r="58" spans="1:22" s="100" customFormat="1" ht="21" customHeight="1" x14ac:dyDescent="0.15">
      <c r="A58" s="41">
        <f t="shared" si="2"/>
        <v>55</v>
      </c>
      <c r="B58" s="41">
        <v>5</v>
      </c>
      <c r="C58" s="41">
        <v>7</v>
      </c>
      <c r="D58" s="41">
        <v>17</v>
      </c>
      <c r="E58" s="105" t="s">
        <v>265</v>
      </c>
      <c r="F58" s="102">
        <v>11</v>
      </c>
      <c r="G58" s="37" t="s">
        <v>233</v>
      </c>
      <c r="H58" s="106" t="s">
        <v>206</v>
      </c>
      <c r="I58" s="101">
        <v>2970</v>
      </c>
      <c r="J58" s="101"/>
      <c r="K58" s="102" t="s">
        <v>199</v>
      </c>
      <c r="L58" s="103">
        <f t="shared" ca="1" si="3"/>
        <v>1624003</v>
      </c>
      <c r="M58" s="103">
        <f t="shared" ca="1" si="37"/>
        <v>801901</v>
      </c>
      <c r="N58" s="103">
        <f t="shared" ca="1" si="37"/>
        <v>560020</v>
      </c>
      <c r="O58" s="103">
        <f t="shared" ca="1" si="37"/>
        <v>-12140</v>
      </c>
      <c r="P58" s="103">
        <f t="shared" ca="1" si="37"/>
        <v>-71778</v>
      </c>
      <c r="Q58" s="103">
        <f t="shared" ca="1" si="37"/>
        <v>344000</v>
      </c>
      <c r="R58" s="103">
        <f t="shared" ca="1" si="5"/>
        <v>2000</v>
      </c>
      <c r="S58" s="102" t="b">
        <f t="shared" ca="1" si="38"/>
        <v>1</v>
      </c>
      <c r="T58" s="88"/>
      <c r="V58" s="104"/>
    </row>
    <row r="59" spans="1:22" s="100" customFormat="1" ht="21" customHeight="1" x14ac:dyDescent="0.15">
      <c r="A59" s="41">
        <f t="shared" si="2"/>
        <v>56</v>
      </c>
      <c r="B59" s="41">
        <v>5</v>
      </c>
      <c r="C59" s="41">
        <v>7</v>
      </c>
      <c r="D59" s="41">
        <v>17</v>
      </c>
      <c r="E59" s="105" t="s">
        <v>267</v>
      </c>
      <c r="F59" s="102">
        <v>11</v>
      </c>
      <c r="G59" s="37" t="s">
        <v>233</v>
      </c>
      <c r="H59" s="7" t="s">
        <v>113</v>
      </c>
      <c r="I59" s="101">
        <v>10000</v>
      </c>
      <c r="J59" s="101"/>
      <c r="K59" s="102" t="s">
        <v>199</v>
      </c>
      <c r="L59" s="103">
        <f t="shared" ca="1" si="3"/>
        <v>1614003</v>
      </c>
      <c r="M59" s="103">
        <f t="shared" ca="1" si="37"/>
        <v>801901</v>
      </c>
      <c r="N59" s="103">
        <f t="shared" ca="1" si="37"/>
        <v>550020</v>
      </c>
      <c r="O59" s="103">
        <f t="shared" ca="1" si="37"/>
        <v>-12140</v>
      </c>
      <c r="P59" s="103">
        <f t="shared" ca="1" si="37"/>
        <v>-71778</v>
      </c>
      <c r="Q59" s="103">
        <f t="shared" ca="1" si="37"/>
        <v>344000</v>
      </c>
      <c r="R59" s="103">
        <f t="shared" ca="1" si="5"/>
        <v>2000</v>
      </c>
      <c r="S59" s="102" t="b">
        <f t="shared" ca="1" si="38"/>
        <v>1</v>
      </c>
      <c r="T59" s="88"/>
      <c r="V59" s="104"/>
    </row>
    <row r="60" spans="1:22" s="100" customFormat="1" ht="21" customHeight="1" x14ac:dyDescent="0.15">
      <c r="A60" s="41">
        <f t="shared" si="2"/>
        <v>57</v>
      </c>
      <c r="B60" s="41">
        <v>5</v>
      </c>
      <c r="C60" s="41">
        <v>7</v>
      </c>
      <c r="D60" s="41">
        <v>17</v>
      </c>
      <c r="E60" s="105" t="s">
        <v>267</v>
      </c>
      <c r="F60" s="102">
        <v>11</v>
      </c>
      <c r="G60" s="37" t="s">
        <v>233</v>
      </c>
      <c r="H60" s="7" t="s">
        <v>184</v>
      </c>
      <c r="I60" s="101">
        <v>5000</v>
      </c>
      <c r="J60" s="101"/>
      <c r="K60" s="102" t="s">
        <v>199</v>
      </c>
      <c r="L60" s="103">
        <f t="shared" ref="L60" ca="1" si="42">OFFSET(L60,-1,0)+J60-I60</f>
        <v>1609003</v>
      </c>
      <c r="M60" s="103">
        <f t="shared" ref="M60:R87" ca="1" si="43">IF($K60=M$2,OFFSET(M60,-1,0)+$J60-$I60,OFFSET(M60,-1,0))</f>
        <v>801901</v>
      </c>
      <c r="N60" s="103">
        <f t="shared" ca="1" si="43"/>
        <v>545020</v>
      </c>
      <c r="O60" s="103">
        <f t="shared" ca="1" si="43"/>
        <v>-12140</v>
      </c>
      <c r="P60" s="103">
        <f t="shared" ca="1" si="43"/>
        <v>-71778</v>
      </c>
      <c r="Q60" s="103">
        <f t="shared" ca="1" si="43"/>
        <v>344000</v>
      </c>
      <c r="R60" s="103">
        <f t="shared" ca="1" si="5"/>
        <v>2000</v>
      </c>
      <c r="S60" s="102" t="b">
        <f t="shared" ca="1" si="38"/>
        <v>1</v>
      </c>
      <c r="T60" s="88"/>
      <c r="V60" s="104"/>
    </row>
    <row r="61" spans="1:22" s="100" customFormat="1" ht="21" customHeight="1" x14ac:dyDescent="0.15">
      <c r="A61" s="41">
        <f t="shared" si="2"/>
        <v>58</v>
      </c>
      <c r="B61" s="41">
        <v>5</v>
      </c>
      <c r="C61" s="41">
        <v>7</v>
      </c>
      <c r="D61" s="41">
        <v>17</v>
      </c>
      <c r="E61" s="105" t="s">
        <v>267</v>
      </c>
      <c r="F61" s="102">
        <v>11</v>
      </c>
      <c r="G61" s="37" t="s">
        <v>233</v>
      </c>
      <c r="H61" s="7" t="s">
        <v>185</v>
      </c>
      <c r="I61" s="101">
        <v>5000</v>
      </c>
      <c r="J61" s="101"/>
      <c r="K61" s="102" t="s">
        <v>199</v>
      </c>
      <c r="L61" s="103">
        <f t="shared" ref="L61:L62" ca="1" si="44">OFFSET(L61,-1,0)+J61-I61</f>
        <v>1604003</v>
      </c>
      <c r="M61" s="103">
        <f t="shared" ca="1" si="43"/>
        <v>801901</v>
      </c>
      <c r="N61" s="103">
        <f t="shared" ca="1" si="43"/>
        <v>540020</v>
      </c>
      <c r="O61" s="103">
        <f t="shared" ca="1" si="43"/>
        <v>-12140</v>
      </c>
      <c r="P61" s="103">
        <f t="shared" ca="1" si="43"/>
        <v>-71778</v>
      </c>
      <c r="Q61" s="103">
        <f t="shared" ca="1" si="43"/>
        <v>344000</v>
      </c>
      <c r="R61" s="103">
        <f t="shared" ca="1" si="5"/>
        <v>2000</v>
      </c>
      <c r="S61" s="102" t="b">
        <f t="shared" ca="1" si="38"/>
        <v>1</v>
      </c>
      <c r="T61" s="88"/>
      <c r="V61" s="104"/>
    </row>
    <row r="62" spans="1:22" s="100" customFormat="1" ht="21" customHeight="1" x14ac:dyDescent="0.15">
      <c r="A62" s="41">
        <f t="shared" si="2"/>
        <v>59</v>
      </c>
      <c r="B62" s="41">
        <v>5</v>
      </c>
      <c r="C62" s="41">
        <v>7</v>
      </c>
      <c r="D62" s="41">
        <v>17</v>
      </c>
      <c r="E62" s="105" t="s">
        <v>358</v>
      </c>
      <c r="F62" s="102">
        <v>7</v>
      </c>
      <c r="G62" s="37" t="s">
        <v>620</v>
      </c>
      <c r="H62" s="7" t="s">
        <v>135</v>
      </c>
      <c r="I62" s="101">
        <v>10000</v>
      </c>
      <c r="J62" s="101"/>
      <c r="K62" s="102" t="s">
        <v>199</v>
      </c>
      <c r="L62" s="103">
        <f t="shared" ca="1" si="44"/>
        <v>1594003</v>
      </c>
      <c r="M62" s="103">
        <f t="shared" ca="1" si="43"/>
        <v>801901</v>
      </c>
      <c r="N62" s="103">
        <f t="shared" ca="1" si="43"/>
        <v>530020</v>
      </c>
      <c r="O62" s="103">
        <f t="shared" ca="1" si="43"/>
        <v>-12140</v>
      </c>
      <c r="P62" s="103">
        <f t="shared" ca="1" si="43"/>
        <v>-71778</v>
      </c>
      <c r="Q62" s="103">
        <f t="shared" ca="1" si="43"/>
        <v>344000</v>
      </c>
      <c r="R62" s="103">
        <f t="shared" ca="1" si="5"/>
        <v>2000</v>
      </c>
      <c r="S62" s="102" t="b">
        <f t="shared" ca="1" si="38"/>
        <v>1</v>
      </c>
      <c r="T62" s="88"/>
      <c r="V62" s="104"/>
    </row>
    <row r="63" spans="1:22" s="100" customFormat="1" ht="21" customHeight="1" x14ac:dyDescent="0.15">
      <c r="A63" s="41">
        <f t="shared" si="2"/>
        <v>60</v>
      </c>
      <c r="B63" s="41">
        <v>5</v>
      </c>
      <c r="C63" s="41">
        <v>7</v>
      </c>
      <c r="D63" s="41">
        <v>17</v>
      </c>
      <c r="E63" s="105" t="s">
        <v>358</v>
      </c>
      <c r="F63" s="102">
        <v>7</v>
      </c>
      <c r="G63" s="37" t="s">
        <v>620</v>
      </c>
      <c r="H63" s="4" t="s">
        <v>136</v>
      </c>
      <c r="I63" s="101">
        <v>10000</v>
      </c>
      <c r="J63" s="101"/>
      <c r="K63" s="102" t="s">
        <v>199</v>
      </c>
      <c r="L63" s="103">
        <f t="shared" ref="L63:L68" ca="1" si="45">OFFSET(L63,-1,0)+J63-I63</f>
        <v>1584003</v>
      </c>
      <c r="M63" s="103">
        <f t="shared" ca="1" si="43"/>
        <v>801901</v>
      </c>
      <c r="N63" s="103">
        <f t="shared" ca="1" si="43"/>
        <v>520020</v>
      </c>
      <c r="O63" s="103">
        <f t="shared" ca="1" si="43"/>
        <v>-12140</v>
      </c>
      <c r="P63" s="103">
        <f t="shared" ca="1" si="43"/>
        <v>-71778</v>
      </c>
      <c r="Q63" s="103">
        <f t="shared" ca="1" si="43"/>
        <v>344000</v>
      </c>
      <c r="R63" s="103">
        <f t="shared" ca="1" si="5"/>
        <v>2000</v>
      </c>
      <c r="S63" s="102" t="b">
        <f t="shared" ca="1" si="38"/>
        <v>1</v>
      </c>
      <c r="T63" s="88"/>
      <c r="V63" s="104"/>
    </row>
    <row r="64" spans="1:22" s="100" customFormat="1" ht="21" customHeight="1" x14ac:dyDescent="0.15">
      <c r="A64" s="41">
        <f t="shared" si="2"/>
        <v>61</v>
      </c>
      <c r="B64" s="41">
        <v>5</v>
      </c>
      <c r="C64" s="41">
        <v>7</v>
      </c>
      <c r="D64" s="41">
        <v>17</v>
      </c>
      <c r="E64" s="105" t="s">
        <v>359</v>
      </c>
      <c r="F64" s="102">
        <v>7</v>
      </c>
      <c r="G64" s="37" t="s">
        <v>620</v>
      </c>
      <c r="H64" s="4" t="s">
        <v>141</v>
      </c>
      <c r="I64" s="101">
        <v>8778</v>
      </c>
      <c r="J64" s="101"/>
      <c r="K64" s="50" t="s">
        <v>191</v>
      </c>
      <c r="L64" s="103">
        <f t="shared" ref="L64" ca="1" si="46">OFFSET(L64,-1,0)+J64-I64</f>
        <v>1575225</v>
      </c>
      <c r="M64" s="103">
        <f t="shared" ca="1" si="43"/>
        <v>801901</v>
      </c>
      <c r="N64" s="103">
        <f t="shared" ca="1" si="43"/>
        <v>520020</v>
      </c>
      <c r="O64" s="103">
        <f t="shared" ca="1" si="43"/>
        <v>-12140</v>
      </c>
      <c r="P64" s="103">
        <f t="shared" ca="1" si="43"/>
        <v>-80556</v>
      </c>
      <c r="Q64" s="103">
        <f t="shared" ca="1" si="43"/>
        <v>344000</v>
      </c>
      <c r="R64" s="103">
        <f t="shared" ca="1" si="5"/>
        <v>2000</v>
      </c>
      <c r="S64" s="102" t="b">
        <f t="shared" ref="S64" ca="1" si="47">L64=SUM(M64:R64)</f>
        <v>1</v>
      </c>
      <c r="T64" s="88"/>
      <c r="V64" s="104"/>
    </row>
    <row r="65" spans="1:22" s="100" customFormat="1" ht="21" customHeight="1" x14ac:dyDescent="0.15">
      <c r="A65" s="41">
        <f t="shared" si="2"/>
        <v>62</v>
      </c>
      <c r="B65" s="41">
        <v>5</v>
      </c>
      <c r="C65" s="41">
        <v>7</v>
      </c>
      <c r="D65" s="41">
        <v>17</v>
      </c>
      <c r="E65" s="7" t="s">
        <v>174</v>
      </c>
      <c r="F65" s="102" t="s">
        <v>227</v>
      </c>
      <c r="G65" s="37" t="s">
        <v>396</v>
      </c>
      <c r="H65" s="4" t="s">
        <v>268</v>
      </c>
      <c r="I65" s="101"/>
      <c r="J65" s="101">
        <v>2800</v>
      </c>
      <c r="K65" s="102" t="s">
        <v>199</v>
      </c>
      <c r="L65" s="103">
        <f t="shared" ca="1" si="45"/>
        <v>1578025</v>
      </c>
      <c r="M65" s="103">
        <f t="shared" ca="1" si="43"/>
        <v>801901</v>
      </c>
      <c r="N65" s="103">
        <f t="shared" ca="1" si="43"/>
        <v>522820</v>
      </c>
      <c r="O65" s="103">
        <f t="shared" ca="1" si="43"/>
        <v>-12140</v>
      </c>
      <c r="P65" s="103">
        <f t="shared" ca="1" si="43"/>
        <v>-80556</v>
      </c>
      <c r="Q65" s="103">
        <f t="shared" ca="1" si="43"/>
        <v>344000</v>
      </c>
      <c r="R65" s="103">
        <f t="shared" ca="1" si="5"/>
        <v>2000</v>
      </c>
      <c r="S65" s="102" t="b">
        <f t="shared" ca="1" si="38"/>
        <v>1</v>
      </c>
      <c r="T65" s="88"/>
      <c r="V65" s="104"/>
    </row>
    <row r="66" spans="1:22" s="100" customFormat="1" ht="21" customHeight="1" x14ac:dyDescent="0.15">
      <c r="A66" s="41">
        <f t="shared" si="2"/>
        <v>63</v>
      </c>
      <c r="B66" s="41">
        <v>5</v>
      </c>
      <c r="C66" s="41">
        <v>7</v>
      </c>
      <c r="D66" s="41">
        <v>19</v>
      </c>
      <c r="E66" s="105" t="s">
        <v>269</v>
      </c>
      <c r="F66" s="102">
        <v>11</v>
      </c>
      <c r="G66" s="37" t="s">
        <v>233</v>
      </c>
      <c r="H66" s="106" t="s">
        <v>206</v>
      </c>
      <c r="I66" s="101">
        <v>2650</v>
      </c>
      <c r="J66" s="101"/>
      <c r="K66" s="102" t="s">
        <v>199</v>
      </c>
      <c r="L66" s="103">
        <f t="shared" ca="1" si="45"/>
        <v>1575375</v>
      </c>
      <c r="M66" s="103">
        <f t="shared" ca="1" si="43"/>
        <v>801901</v>
      </c>
      <c r="N66" s="103">
        <f t="shared" ca="1" si="43"/>
        <v>520170</v>
      </c>
      <c r="O66" s="103">
        <f t="shared" ca="1" si="43"/>
        <v>-12140</v>
      </c>
      <c r="P66" s="103">
        <f t="shared" ca="1" si="43"/>
        <v>-80556</v>
      </c>
      <c r="Q66" s="103">
        <f t="shared" ca="1" si="43"/>
        <v>344000</v>
      </c>
      <c r="R66" s="103">
        <f t="shared" ca="1" si="5"/>
        <v>2000</v>
      </c>
      <c r="S66" s="102" t="b">
        <f t="shared" ca="1" si="38"/>
        <v>1</v>
      </c>
      <c r="T66" s="88"/>
      <c r="V66" s="104"/>
    </row>
    <row r="67" spans="1:22" s="100" customFormat="1" ht="21" customHeight="1" x14ac:dyDescent="0.15">
      <c r="A67" s="41">
        <f t="shared" si="2"/>
        <v>64</v>
      </c>
      <c r="B67" s="41">
        <v>5</v>
      </c>
      <c r="C67" s="41">
        <v>7</v>
      </c>
      <c r="D67" s="41">
        <v>20</v>
      </c>
      <c r="E67" s="105" t="s">
        <v>606</v>
      </c>
      <c r="F67" s="102">
        <v>11</v>
      </c>
      <c r="G67" s="37" t="s">
        <v>233</v>
      </c>
      <c r="H67" s="106" t="s">
        <v>162</v>
      </c>
      <c r="I67" s="101">
        <v>151</v>
      </c>
      <c r="J67" s="101"/>
      <c r="K67" s="102" t="s">
        <v>199</v>
      </c>
      <c r="L67" s="103">
        <f t="shared" ref="L67" ca="1" si="48">OFFSET(L67,-1,0)+J67-I67</f>
        <v>1575224</v>
      </c>
      <c r="M67" s="103">
        <f t="shared" ca="1" si="43"/>
        <v>801901</v>
      </c>
      <c r="N67" s="103">
        <f t="shared" ca="1" si="43"/>
        <v>520019</v>
      </c>
      <c r="O67" s="103">
        <f t="shared" ca="1" si="43"/>
        <v>-12140</v>
      </c>
      <c r="P67" s="103">
        <f t="shared" ca="1" si="43"/>
        <v>-80556</v>
      </c>
      <c r="Q67" s="103">
        <f t="shared" ca="1" si="43"/>
        <v>344000</v>
      </c>
      <c r="R67" s="103">
        <f t="shared" ca="1" si="5"/>
        <v>2000</v>
      </c>
      <c r="S67" s="102" t="b">
        <f t="shared" ref="S67" ca="1" si="49">L67=SUM(M67:R67)</f>
        <v>1</v>
      </c>
      <c r="T67" s="88" t="s">
        <v>588</v>
      </c>
      <c r="V67" s="104"/>
    </row>
    <row r="68" spans="1:22" s="100" customFormat="1" ht="21" customHeight="1" x14ac:dyDescent="0.15">
      <c r="A68" s="41">
        <f t="shared" si="2"/>
        <v>65</v>
      </c>
      <c r="B68" s="41">
        <v>5</v>
      </c>
      <c r="C68" s="41">
        <v>7</v>
      </c>
      <c r="D68" s="41">
        <v>21</v>
      </c>
      <c r="E68" s="105" t="s">
        <v>357</v>
      </c>
      <c r="F68" s="102">
        <v>3</v>
      </c>
      <c r="G68" s="37" t="s">
        <v>415</v>
      </c>
      <c r="H68" s="106" t="s">
        <v>356</v>
      </c>
      <c r="I68" s="101">
        <v>15000</v>
      </c>
      <c r="J68" s="101"/>
      <c r="K68" s="102" t="s">
        <v>200</v>
      </c>
      <c r="L68" s="103">
        <f t="shared" ca="1" si="45"/>
        <v>1560224</v>
      </c>
      <c r="M68" s="103">
        <f t="shared" ca="1" si="43"/>
        <v>801901</v>
      </c>
      <c r="N68" s="103">
        <f t="shared" ca="1" si="43"/>
        <v>520019</v>
      </c>
      <c r="O68" s="103">
        <f t="shared" ca="1" si="43"/>
        <v>-27140</v>
      </c>
      <c r="P68" s="103">
        <f t="shared" ca="1" si="43"/>
        <v>-80556</v>
      </c>
      <c r="Q68" s="103">
        <f t="shared" ca="1" si="43"/>
        <v>344000</v>
      </c>
      <c r="R68" s="103">
        <f t="shared" ca="1" si="5"/>
        <v>2000</v>
      </c>
      <c r="S68" s="102" t="b">
        <f t="shared" ca="1" si="38"/>
        <v>1</v>
      </c>
      <c r="T68" s="105" t="s">
        <v>354</v>
      </c>
      <c r="V68" s="104"/>
    </row>
    <row r="69" spans="1:22" s="100" customFormat="1" ht="21" customHeight="1" x14ac:dyDescent="0.15">
      <c r="A69" s="41">
        <f t="shared" si="2"/>
        <v>66</v>
      </c>
      <c r="B69" s="41">
        <v>5</v>
      </c>
      <c r="C69" s="41">
        <v>7</v>
      </c>
      <c r="D69" s="41">
        <v>27</v>
      </c>
      <c r="E69" s="105" t="s">
        <v>607</v>
      </c>
      <c r="F69" s="102">
        <v>11</v>
      </c>
      <c r="G69" s="37" t="s">
        <v>233</v>
      </c>
      <c r="H69" s="106" t="s">
        <v>595</v>
      </c>
      <c r="I69" s="101">
        <v>2285</v>
      </c>
      <c r="J69" s="101"/>
      <c r="K69" s="102" t="s">
        <v>200</v>
      </c>
      <c r="L69" s="103">
        <f t="shared" ref="L69" ca="1" si="50">OFFSET(L69,-1,0)+J69-I69</f>
        <v>1557939</v>
      </c>
      <c r="M69" s="103">
        <f t="shared" ca="1" si="43"/>
        <v>801901</v>
      </c>
      <c r="N69" s="103">
        <f t="shared" ca="1" si="43"/>
        <v>520019</v>
      </c>
      <c r="O69" s="103">
        <f t="shared" ca="1" si="43"/>
        <v>-29425</v>
      </c>
      <c r="P69" s="103">
        <f t="shared" ca="1" si="43"/>
        <v>-80556</v>
      </c>
      <c r="Q69" s="103">
        <f t="shared" ca="1" si="43"/>
        <v>344000</v>
      </c>
      <c r="R69" s="103">
        <f t="shared" ca="1" si="5"/>
        <v>2000</v>
      </c>
      <c r="S69" s="102" t="b">
        <f t="shared" ref="S69" ca="1" si="51">L69=SUM(M69:R69)</f>
        <v>1</v>
      </c>
      <c r="T69" s="88"/>
      <c r="V69" s="104"/>
    </row>
    <row r="70" spans="1:22" s="100" customFormat="1" ht="21" customHeight="1" x14ac:dyDescent="0.15">
      <c r="A70" s="41">
        <f t="shared" si="2"/>
        <v>67</v>
      </c>
      <c r="B70" s="41">
        <v>5</v>
      </c>
      <c r="C70" s="41">
        <v>7</v>
      </c>
      <c r="D70" s="41">
        <v>27</v>
      </c>
      <c r="E70" s="105" t="s">
        <v>646</v>
      </c>
      <c r="F70" s="102">
        <v>13</v>
      </c>
      <c r="G70" s="37" t="s">
        <v>625</v>
      </c>
      <c r="H70" s="106" t="s">
        <v>242</v>
      </c>
      <c r="I70" s="101">
        <v>31473</v>
      </c>
      <c r="J70" s="101"/>
      <c r="K70" s="102" t="s">
        <v>242</v>
      </c>
      <c r="L70" s="103">
        <f t="shared" ref="L70:L72" ca="1" si="52">OFFSET(L70,-1,0)+J70-I70</f>
        <v>1526466</v>
      </c>
      <c r="M70" s="103">
        <f t="shared" ca="1" si="43"/>
        <v>801901</v>
      </c>
      <c r="N70" s="103">
        <f t="shared" ca="1" si="43"/>
        <v>520019</v>
      </c>
      <c r="O70" s="103">
        <f t="shared" ca="1" si="43"/>
        <v>-29425</v>
      </c>
      <c r="P70" s="103">
        <f t="shared" ca="1" si="43"/>
        <v>-80556</v>
      </c>
      <c r="Q70" s="103">
        <f t="shared" ca="1" si="43"/>
        <v>344000</v>
      </c>
      <c r="R70" s="103">
        <f t="shared" ca="1" si="5"/>
        <v>-29473</v>
      </c>
      <c r="S70" s="102" t="b">
        <f t="shared" ref="S70:S72" ca="1" si="53">L70=SUM(M70:R70)</f>
        <v>1</v>
      </c>
      <c r="T70" s="88" t="s">
        <v>647</v>
      </c>
      <c r="V70" s="104"/>
    </row>
    <row r="71" spans="1:22" s="100" customFormat="1" ht="21" customHeight="1" x14ac:dyDescent="0.15">
      <c r="A71" s="41">
        <f t="shared" si="2"/>
        <v>68</v>
      </c>
      <c r="B71" s="41">
        <v>5</v>
      </c>
      <c r="C71" s="41">
        <v>7</v>
      </c>
      <c r="D71" s="41">
        <v>29</v>
      </c>
      <c r="E71" s="105" t="s">
        <v>600</v>
      </c>
      <c r="F71" s="102">
        <v>11</v>
      </c>
      <c r="G71" s="37" t="s">
        <v>233</v>
      </c>
      <c r="H71" s="7" t="s">
        <v>599</v>
      </c>
      <c r="I71" s="255">
        <v>0</v>
      </c>
      <c r="J71" s="101"/>
      <c r="K71" s="50" t="s">
        <v>200</v>
      </c>
      <c r="L71" s="103">
        <f t="shared" ca="1" si="52"/>
        <v>1526466</v>
      </c>
      <c r="M71" s="103">
        <f t="shared" ca="1" si="43"/>
        <v>801901</v>
      </c>
      <c r="N71" s="103">
        <f t="shared" ca="1" si="43"/>
        <v>520019</v>
      </c>
      <c r="O71" s="103">
        <f t="shared" ca="1" si="43"/>
        <v>-29425</v>
      </c>
      <c r="P71" s="103">
        <f t="shared" ca="1" si="43"/>
        <v>-80556</v>
      </c>
      <c r="Q71" s="103">
        <f t="shared" ca="1" si="43"/>
        <v>344000</v>
      </c>
      <c r="R71" s="103">
        <f t="shared" ca="1" si="43"/>
        <v>-29473</v>
      </c>
      <c r="S71" s="102" t="b">
        <f t="shared" ref="S71" ca="1" si="54">L71=SUM(M71:R71)</f>
        <v>1</v>
      </c>
      <c r="T71" s="88" t="s">
        <v>642</v>
      </c>
      <c r="V71" s="104"/>
    </row>
    <row r="72" spans="1:22" s="100" customFormat="1" ht="21" customHeight="1" x14ac:dyDescent="0.15">
      <c r="A72" s="41">
        <f t="shared" si="2"/>
        <v>69</v>
      </c>
      <c r="B72" s="41">
        <v>5</v>
      </c>
      <c r="C72" s="41">
        <v>7</v>
      </c>
      <c r="D72" s="41">
        <v>29</v>
      </c>
      <c r="E72" s="105" t="s">
        <v>596</v>
      </c>
      <c r="F72" s="102">
        <v>5</v>
      </c>
      <c r="G72" s="37" t="s">
        <v>622</v>
      </c>
      <c r="H72" s="106" t="s">
        <v>597</v>
      </c>
      <c r="I72" s="101">
        <v>5000</v>
      </c>
      <c r="J72" s="101"/>
      <c r="K72" s="102" t="s">
        <v>200</v>
      </c>
      <c r="L72" s="103">
        <f t="shared" ca="1" si="52"/>
        <v>1521466</v>
      </c>
      <c r="M72" s="103">
        <f t="shared" ca="1" si="43"/>
        <v>801901</v>
      </c>
      <c r="N72" s="103">
        <f t="shared" ca="1" si="43"/>
        <v>520019</v>
      </c>
      <c r="O72" s="103">
        <f t="shared" ca="1" si="43"/>
        <v>-34425</v>
      </c>
      <c r="P72" s="103">
        <f t="shared" ca="1" si="43"/>
        <v>-80556</v>
      </c>
      <c r="Q72" s="103">
        <f t="shared" ca="1" si="43"/>
        <v>344000</v>
      </c>
      <c r="R72" s="103">
        <f t="shared" ca="1" si="5"/>
        <v>-29473</v>
      </c>
      <c r="S72" s="102" t="b">
        <f t="shared" ca="1" si="53"/>
        <v>1</v>
      </c>
      <c r="T72" s="88"/>
      <c r="V72" s="104"/>
    </row>
    <row r="73" spans="1:22" s="100" customFormat="1" ht="21" customHeight="1" x14ac:dyDescent="0.15">
      <c r="A73" s="41">
        <f t="shared" si="2"/>
        <v>70</v>
      </c>
      <c r="B73" s="41">
        <v>5</v>
      </c>
      <c r="C73" s="41">
        <v>8</v>
      </c>
      <c r="D73" s="41">
        <v>6</v>
      </c>
      <c r="E73" s="105" t="s">
        <v>363</v>
      </c>
      <c r="F73" s="161"/>
      <c r="G73" s="99"/>
      <c r="H73" s="160"/>
      <c r="I73" s="101">
        <v>200000</v>
      </c>
      <c r="J73" s="101"/>
      <c r="K73" s="102" t="s">
        <v>199</v>
      </c>
      <c r="L73" s="103">
        <f ca="1">OFFSET(L73,-1,0)+J73-I73</f>
        <v>1321466</v>
      </c>
      <c r="M73" s="103">
        <f t="shared" ref="M73:R73" ca="1" si="55">IF($K73=M$2,OFFSET(M73,-1,0)+$J73-$I73,OFFSET(M73,-1,0))</f>
        <v>801901</v>
      </c>
      <c r="N73" s="103">
        <f t="shared" ca="1" si="55"/>
        <v>320019</v>
      </c>
      <c r="O73" s="103">
        <f t="shared" ca="1" si="55"/>
        <v>-34425</v>
      </c>
      <c r="P73" s="103">
        <f t="shared" ca="1" si="55"/>
        <v>-80556</v>
      </c>
      <c r="Q73" s="103">
        <f t="shared" ca="1" si="55"/>
        <v>344000</v>
      </c>
      <c r="R73" s="103">
        <f t="shared" ca="1" si="55"/>
        <v>-29473</v>
      </c>
      <c r="S73" s="102" t="b">
        <f ca="1">L73=SUM(M73:R73)</f>
        <v>1</v>
      </c>
      <c r="T73" s="88"/>
      <c r="V73" s="104"/>
    </row>
    <row r="74" spans="1:22" s="100" customFormat="1" ht="21" customHeight="1" x14ac:dyDescent="0.15">
      <c r="A74" s="41">
        <f t="shared" si="2"/>
        <v>71</v>
      </c>
      <c r="B74" s="41">
        <v>5</v>
      </c>
      <c r="C74" s="41">
        <v>8</v>
      </c>
      <c r="D74" s="41">
        <v>6</v>
      </c>
      <c r="E74" s="105" t="s">
        <v>361</v>
      </c>
      <c r="F74" s="161"/>
      <c r="G74" s="99"/>
      <c r="H74" s="160"/>
      <c r="I74" s="101">
        <v>80556</v>
      </c>
      <c r="J74" s="101"/>
      <c r="K74" s="102" t="s">
        <v>199</v>
      </c>
      <c r="L74" s="103">
        <f t="shared" ref="L74" ca="1" si="56">OFFSET(L74,-1,0)+J74-I74</f>
        <v>1240910</v>
      </c>
      <c r="M74" s="103">
        <f t="shared" ca="1" si="43"/>
        <v>801901</v>
      </c>
      <c r="N74" s="103">
        <f t="shared" ca="1" si="43"/>
        <v>239463</v>
      </c>
      <c r="O74" s="103">
        <f t="shared" ca="1" si="43"/>
        <v>-34425</v>
      </c>
      <c r="P74" s="103">
        <f t="shared" ca="1" si="43"/>
        <v>-80556</v>
      </c>
      <c r="Q74" s="103">
        <f t="shared" ca="1" si="43"/>
        <v>344000</v>
      </c>
      <c r="R74" s="103">
        <f t="shared" ca="1" si="5"/>
        <v>-29473</v>
      </c>
      <c r="S74" s="102" t="b">
        <f t="shared" ref="S74" ca="1" si="57">L74=SUM(M74:R74)</f>
        <v>1</v>
      </c>
      <c r="T74" s="88"/>
      <c r="V74" s="104"/>
    </row>
    <row r="75" spans="1:22" s="100" customFormat="1" ht="21" customHeight="1" x14ac:dyDescent="0.15">
      <c r="A75" s="41">
        <f t="shared" si="2"/>
        <v>72</v>
      </c>
      <c r="B75" s="41">
        <v>5</v>
      </c>
      <c r="C75" s="41">
        <v>8</v>
      </c>
      <c r="D75" s="41">
        <v>6</v>
      </c>
      <c r="E75" s="105" t="s">
        <v>361</v>
      </c>
      <c r="F75" s="161"/>
      <c r="G75" s="99"/>
      <c r="H75" s="160"/>
      <c r="I75" s="101"/>
      <c r="J75" s="101">
        <v>80556</v>
      </c>
      <c r="K75" s="102" t="s">
        <v>191</v>
      </c>
      <c r="L75" s="103">
        <f t="shared" ref="L75:L76" ca="1" si="58">OFFSET(L75,-1,0)+J75-I75</f>
        <v>1321466</v>
      </c>
      <c r="M75" s="103">
        <f t="shared" ca="1" si="43"/>
        <v>801901</v>
      </c>
      <c r="N75" s="103">
        <f t="shared" ca="1" si="43"/>
        <v>239463</v>
      </c>
      <c r="O75" s="103">
        <f t="shared" ca="1" si="43"/>
        <v>-34425</v>
      </c>
      <c r="P75" s="103">
        <f t="shared" ca="1" si="43"/>
        <v>0</v>
      </c>
      <c r="Q75" s="103">
        <f t="shared" ca="1" si="43"/>
        <v>344000</v>
      </c>
      <c r="R75" s="103">
        <f t="shared" ca="1" si="5"/>
        <v>-29473</v>
      </c>
      <c r="S75" s="102" t="b">
        <f t="shared" ref="S75" ca="1" si="59">L75=SUM(M75:R75)</f>
        <v>1</v>
      </c>
      <c r="T75" s="88"/>
      <c r="V75" s="104"/>
    </row>
    <row r="76" spans="1:22" s="100" customFormat="1" ht="21" customHeight="1" x14ac:dyDescent="0.15">
      <c r="A76" s="41">
        <f t="shared" si="2"/>
        <v>73</v>
      </c>
      <c r="B76" s="41">
        <v>5</v>
      </c>
      <c r="C76" s="41">
        <v>8</v>
      </c>
      <c r="D76" s="41">
        <v>6</v>
      </c>
      <c r="E76" s="105" t="s">
        <v>643</v>
      </c>
      <c r="F76" s="102">
        <v>11</v>
      </c>
      <c r="G76" s="37" t="s">
        <v>233</v>
      </c>
      <c r="H76" s="7" t="s">
        <v>599</v>
      </c>
      <c r="I76" s="101">
        <v>2360</v>
      </c>
      <c r="J76" s="101"/>
      <c r="K76" s="50" t="s">
        <v>200</v>
      </c>
      <c r="L76" s="103">
        <f t="shared" ca="1" si="58"/>
        <v>1319106</v>
      </c>
      <c r="M76" s="103">
        <f t="shared" ca="1" si="43"/>
        <v>801901</v>
      </c>
      <c r="N76" s="103">
        <f t="shared" ca="1" si="43"/>
        <v>239463</v>
      </c>
      <c r="O76" s="103">
        <f t="shared" ca="1" si="43"/>
        <v>-36785</v>
      </c>
      <c r="P76" s="103">
        <f t="shared" ca="1" si="43"/>
        <v>0</v>
      </c>
      <c r="Q76" s="103">
        <f t="shared" ca="1" si="43"/>
        <v>344000</v>
      </c>
      <c r="R76" s="103">
        <f t="shared" ca="1" si="43"/>
        <v>-29473</v>
      </c>
      <c r="S76" s="102" t="b">
        <f t="shared" ref="S76" ca="1" si="60">L76=SUM(M76:R76)</f>
        <v>1</v>
      </c>
      <c r="T76" s="88" t="s">
        <v>644</v>
      </c>
      <c r="V76" s="104"/>
    </row>
    <row r="77" spans="1:22" s="100" customFormat="1" ht="21" customHeight="1" x14ac:dyDescent="0.15">
      <c r="A77" s="41">
        <f t="shared" si="2"/>
        <v>74</v>
      </c>
      <c r="B77" s="41">
        <v>5</v>
      </c>
      <c r="C77" s="41">
        <v>8</v>
      </c>
      <c r="D77" s="41">
        <v>10</v>
      </c>
      <c r="E77" s="105" t="s">
        <v>360</v>
      </c>
      <c r="F77" s="161"/>
      <c r="G77" s="99"/>
      <c r="H77" s="160"/>
      <c r="I77" s="101">
        <v>29473</v>
      </c>
      <c r="J77" s="101"/>
      <c r="K77" s="102" t="s">
        <v>199</v>
      </c>
      <c r="L77" s="103">
        <f t="shared" ref="L77" ca="1" si="61">OFFSET(L77,-1,0)+J77-I77</f>
        <v>1289633</v>
      </c>
      <c r="M77" s="103">
        <f t="shared" ca="1" si="43"/>
        <v>801901</v>
      </c>
      <c r="N77" s="103">
        <f t="shared" ca="1" si="43"/>
        <v>209990</v>
      </c>
      <c r="O77" s="103">
        <f t="shared" ca="1" si="43"/>
        <v>-36785</v>
      </c>
      <c r="P77" s="103">
        <f t="shared" ca="1" si="43"/>
        <v>0</v>
      </c>
      <c r="Q77" s="103">
        <f t="shared" ca="1" si="43"/>
        <v>344000</v>
      </c>
      <c r="R77" s="103">
        <f t="shared" ca="1" si="5"/>
        <v>-29473</v>
      </c>
      <c r="S77" s="102" t="b">
        <f t="shared" ref="S77" ca="1" si="62">L77=SUM(M77:R77)</f>
        <v>1</v>
      </c>
      <c r="T77" s="88"/>
      <c r="V77" s="104"/>
    </row>
    <row r="78" spans="1:22" s="100" customFormat="1" ht="21" customHeight="1" x14ac:dyDescent="0.15">
      <c r="A78" s="41">
        <f t="shared" si="2"/>
        <v>75</v>
      </c>
      <c r="B78" s="41">
        <v>5</v>
      </c>
      <c r="C78" s="41">
        <v>8</v>
      </c>
      <c r="D78" s="41">
        <v>10</v>
      </c>
      <c r="E78" s="105" t="s">
        <v>360</v>
      </c>
      <c r="F78" s="161"/>
      <c r="G78" s="99"/>
      <c r="H78" s="160"/>
      <c r="I78" s="101"/>
      <c r="J78" s="101">
        <v>29473</v>
      </c>
      <c r="K78" s="102" t="s">
        <v>242</v>
      </c>
      <c r="L78" s="103">
        <f t="shared" ref="L78:L80" ca="1" si="63">OFFSET(L78,-1,0)+J78-I78</f>
        <v>1319106</v>
      </c>
      <c r="M78" s="103">
        <f t="shared" ca="1" si="43"/>
        <v>801901</v>
      </c>
      <c r="N78" s="103">
        <f t="shared" ca="1" si="43"/>
        <v>209990</v>
      </c>
      <c r="O78" s="103">
        <f t="shared" ca="1" si="43"/>
        <v>-36785</v>
      </c>
      <c r="P78" s="103">
        <f t="shared" ca="1" si="43"/>
        <v>0</v>
      </c>
      <c r="Q78" s="103">
        <f t="shared" ca="1" si="43"/>
        <v>344000</v>
      </c>
      <c r="R78" s="103">
        <f t="shared" ca="1" si="5"/>
        <v>0</v>
      </c>
      <c r="S78" s="102" t="b">
        <f t="shared" ref="S78:S80" ca="1" si="64">L78=SUM(M78:R78)</f>
        <v>1</v>
      </c>
      <c r="T78" s="88"/>
      <c r="V78" s="104"/>
    </row>
    <row r="79" spans="1:22" s="100" customFormat="1" ht="21" customHeight="1" x14ac:dyDescent="0.15">
      <c r="A79" s="41">
        <f t="shared" si="2"/>
        <v>76</v>
      </c>
      <c r="B79" s="41">
        <v>5</v>
      </c>
      <c r="C79" s="41">
        <v>8</v>
      </c>
      <c r="D79" s="41">
        <v>6</v>
      </c>
      <c r="E79" s="105" t="s">
        <v>608</v>
      </c>
      <c r="F79" s="102">
        <v>1</v>
      </c>
      <c r="G79" s="37" t="s">
        <v>46</v>
      </c>
      <c r="H79" s="106" t="s">
        <v>621</v>
      </c>
      <c r="I79" s="101">
        <v>332527</v>
      </c>
      <c r="J79" s="101"/>
      <c r="K79" s="50" t="s">
        <v>241</v>
      </c>
      <c r="L79" s="103">
        <f t="shared" ref="L79" ca="1" si="65">OFFSET(L79,-1,0)+J79-I79</f>
        <v>986579</v>
      </c>
      <c r="M79" s="103">
        <f t="shared" ca="1" si="43"/>
        <v>801901</v>
      </c>
      <c r="N79" s="103">
        <f t="shared" ca="1" si="43"/>
        <v>209990</v>
      </c>
      <c r="O79" s="103">
        <f t="shared" ca="1" si="43"/>
        <v>-36785</v>
      </c>
      <c r="P79" s="103">
        <f t="shared" ca="1" si="43"/>
        <v>0</v>
      </c>
      <c r="Q79" s="103">
        <f t="shared" ca="1" si="43"/>
        <v>11473</v>
      </c>
      <c r="R79" s="103">
        <f t="shared" ca="1" si="5"/>
        <v>0</v>
      </c>
      <c r="S79" s="102" t="b">
        <f t="shared" ref="S79" ca="1" si="66">L79=SUM(M79:R79)</f>
        <v>1</v>
      </c>
      <c r="T79" s="88"/>
      <c r="V79" s="104"/>
    </row>
    <row r="80" spans="1:22" s="100" customFormat="1" ht="21" customHeight="1" x14ac:dyDescent="0.15">
      <c r="A80" s="41">
        <f t="shared" si="2"/>
        <v>77</v>
      </c>
      <c r="B80" s="41">
        <v>5</v>
      </c>
      <c r="C80" s="41">
        <v>8</v>
      </c>
      <c r="D80" s="41">
        <v>6</v>
      </c>
      <c r="E80" s="105" t="s">
        <v>362</v>
      </c>
      <c r="F80" s="161"/>
      <c r="G80" s="99"/>
      <c r="H80" s="160"/>
      <c r="I80" s="101">
        <v>11473</v>
      </c>
      <c r="J80" s="101"/>
      <c r="K80" s="50" t="s">
        <v>241</v>
      </c>
      <c r="L80" s="103">
        <f t="shared" ca="1" si="63"/>
        <v>975106</v>
      </c>
      <c r="M80" s="103">
        <f t="shared" ca="1" si="43"/>
        <v>801901</v>
      </c>
      <c r="N80" s="103">
        <f t="shared" ca="1" si="43"/>
        <v>209990</v>
      </c>
      <c r="O80" s="103">
        <f t="shared" ca="1" si="43"/>
        <v>-36785</v>
      </c>
      <c r="P80" s="103">
        <f t="shared" ca="1" si="43"/>
        <v>0</v>
      </c>
      <c r="Q80" s="103">
        <f t="shared" ca="1" si="43"/>
        <v>0</v>
      </c>
      <c r="R80" s="103">
        <f t="shared" ca="1" si="5"/>
        <v>0</v>
      </c>
      <c r="S80" s="102" t="b">
        <f t="shared" ca="1" si="64"/>
        <v>1</v>
      </c>
      <c r="T80" s="88"/>
      <c r="V80" s="104"/>
    </row>
    <row r="81" spans="1:22" s="100" customFormat="1" ht="21" customHeight="1" x14ac:dyDescent="0.15">
      <c r="A81" s="41">
        <f t="shared" si="2"/>
        <v>78</v>
      </c>
      <c r="B81" s="41">
        <v>5</v>
      </c>
      <c r="C81" s="41">
        <v>8</v>
      </c>
      <c r="D81" s="41">
        <v>6</v>
      </c>
      <c r="E81" s="105" t="s">
        <v>362</v>
      </c>
      <c r="F81" s="161"/>
      <c r="G81" s="99"/>
      <c r="H81" s="160"/>
      <c r="I81" s="101"/>
      <c r="J81" s="101">
        <v>11473</v>
      </c>
      <c r="K81" s="102" t="s">
        <v>199</v>
      </c>
      <c r="L81" s="103">
        <f t="shared" ref="L81" ca="1" si="67">OFFSET(L81,-1,0)+J81-I81</f>
        <v>986579</v>
      </c>
      <c r="M81" s="103">
        <f t="shared" ca="1" si="43"/>
        <v>801901</v>
      </c>
      <c r="N81" s="103">
        <f t="shared" ca="1" si="43"/>
        <v>221463</v>
      </c>
      <c r="O81" s="103">
        <f t="shared" ca="1" si="43"/>
        <v>-36785</v>
      </c>
      <c r="P81" s="103">
        <f t="shared" ca="1" si="43"/>
        <v>0</v>
      </c>
      <c r="Q81" s="103">
        <f t="shared" ca="1" si="43"/>
        <v>0</v>
      </c>
      <c r="R81" s="103">
        <f t="shared" ca="1" si="5"/>
        <v>0</v>
      </c>
      <c r="S81" s="102" t="b">
        <f t="shared" ref="S81" ca="1" si="68">L81=SUM(M81:R81)</f>
        <v>1</v>
      </c>
      <c r="T81" s="88"/>
      <c r="V81" s="104"/>
    </row>
    <row r="82" spans="1:22" s="100" customFormat="1" ht="21" customHeight="1" x14ac:dyDescent="0.15">
      <c r="A82" s="41">
        <f t="shared" si="2"/>
        <v>79</v>
      </c>
      <c r="B82" s="41">
        <v>5</v>
      </c>
      <c r="C82" s="41">
        <v>9</v>
      </c>
      <c r="D82" s="41">
        <v>3</v>
      </c>
      <c r="E82" s="105" t="s">
        <v>645</v>
      </c>
      <c r="F82" s="161"/>
      <c r="G82" s="99"/>
      <c r="H82" s="160"/>
      <c r="I82" s="101">
        <v>36785</v>
      </c>
      <c r="J82" s="101"/>
      <c r="K82" s="102" t="s">
        <v>199</v>
      </c>
      <c r="L82" s="103">
        <f ca="1">OFFSET(L82,-1,0)+J82-I82</f>
        <v>949794</v>
      </c>
      <c r="M82" s="103">
        <f t="shared" ref="M82:R83" ca="1" si="69">IF($K82=M$2,OFFSET(M82,-1,0)+$J82-$I82,OFFSET(M82,-1,0))</f>
        <v>801901</v>
      </c>
      <c r="N82" s="103">
        <f t="shared" ca="1" si="69"/>
        <v>184678</v>
      </c>
      <c r="O82" s="103">
        <f t="shared" ca="1" si="69"/>
        <v>-36785</v>
      </c>
      <c r="P82" s="103">
        <f t="shared" ca="1" si="69"/>
        <v>0</v>
      </c>
      <c r="Q82" s="103">
        <f t="shared" ca="1" si="69"/>
        <v>0</v>
      </c>
      <c r="R82" s="103">
        <f t="shared" ca="1" si="69"/>
        <v>0</v>
      </c>
      <c r="S82" s="102" t="b">
        <f ca="1">L82=SUM(M82:R82)</f>
        <v>1</v>
      </c>
      <c r="T82" s="88"/>
      <c r="V82" s="104"/>
    </row>
    <row r="83" spans="1:22" s="100" customFormat="1" ht="21" customHeight="1" x14ac:dyDescent="0.15">
      <c r="A83" s="41">
        <f t="shared" si="2"/>
        <v>80</v>
      </c>
      <c r="B83" s="41">
        <v>5</v>
      </c>
      <c r="C83" s="41">
        <v>9</v>
      </c>
      <c r="D83" s="41">
        <v>3</v>
      </c>
      <c r="E83" s="105" t="s">
        <v>645</v>
      </c>
      <c r="F83" s="161"/>
      <c r="G83" s="99"/>
      <c r="H83" s="160"/>
      <c r="I83" s="101"/>
      <c r="J83" s="101">
        <v>36785</v>
      </c>
      <c r="K83" s="102" t="s">
        <v>200</v>
      </c>
      <c r="L83" s="103">
        <f ca="1">OFFSET(L83,-1,0)+J83-I83</f>
        <v>986579</v>
      </c>
      <c r="M83" s="103">
        <f t="shared" ca="1" si="69"/>
        <v>801901</v>
      </c>
      <c r="N83" s="103">
        <f t="shared" ca="1" si="69"/>
        <v>184678</v>
      </c>
      <c r="O83" s="103">
        <f t="shared" ca="1" si="69"/>
        <v>0</v>
      </c>
      <c r="P83" s="103">
        <f t="shared" ca="1" si="69"/>
        <v>0</v>
      </c>
      <c r="Q83" s="103">
        <f t="shared" ca="1" si="69"/>
        <v>0</v>
      </c>
      <c r="R83" s="103">
        <f t="shared" ca="1" si="69"/>
        <v>0</v>
      </c>
      <c r="S83" s="102" t="b">
        <f ca="1">L83=SUM(M83:R83)</f>
        <v>1</v>
      </c>
      <c r="T83" s="88"/>
      <c r="V83" s="104"/>
    </row>
    <row r="84" spans="1:22" s="100" customFormat="1" ht="21" customHeight="1" x14ac:dyDescent="0.15">
      <c r="A84" s="41">
        <f t="shared" si="2"/>
        <v>81</v>
      </c>
      <c r="B84" s="41">
        <v>5</v>
      </c>
      <c r="C84" s="41">
        <v>9</v>
      </c>
      <c r="D84" s="41">
        <v>3</v>
      </c>
      <c r="E84" s="105" t="s">
        <v>364</v>
      </c>
      <c r="F84" s="102">
        <v>12</v>
      </c>
      <c r="G84" s="37" t="s">
        <v>623</v>
      </c>
      <c r="H84" s="106" t="s">
        <v>601</v>
      </c>
      <c r="I84" s="101">
        <v>146000</v>
      </c>
      <c r="J84" s="101"/>
      <c r="K84" s="102" t="s">
        <v>199</v>
      </c>
      <c r="L84" s="103">
        <f t="shared" ref="L84" ca="1" si="70">OFFSET(L84,-1,0)+J84-I84</f>
        <v>840579</v>
      </c>
      <c r="M84" s="103">
        <f t="shared" ca="1" si="43"/>
        <v>801901</v>
      </c>
      <c r="N84" s="103">
        <f t="shared" ca="1" si="43"/>
        <v>38678</v>
      </c>
      <c r="O84" s="103">
        <f t="shared" ca="1" si="43"/>
        <v>0</v>
      </c>
      <c r="P84" s="103">
        <f t="shared" ca="1" si="43"/>
        <v>0</v>
      </c>
      <c r="Q84" s="103">
        <f t="shared" ca="1" si="43"/>
        <v>0</v>
      </c>
      <c r="R84" s="103">
        <f t="shared" ca="1" si="5"/>
        <v>0</v>
      </c>
      <c r="S84" s="102" t="b">
        <f t="shared" ref="S84" ca="1" si="71">L84=SUM(M84:R84)</f>
        <v>1</v>
      </c>
      <c r="T84" s="88"/>
      <c r="V84" s="104"/>
    </row>
    <row r="85" spans="1:22" s="100" customFormat="1" ht="21" customHeight="1" x14ac:dyDescent="0.15">
      <c r="A85" s="41">
        <f>ROW()-3</f>
        <v>82</v>
      </c>
      <c r="B85" s="41">
        <v>5</v>
      </c>
      <c r="C85" s="41">
        <v>9</v>
      </c>
      <c r="D85" s="41">
        <v>11</v>
      </c>
      <c r="E85" s="37" t="s">
        <v>638</v>
      </c>
      <c r="F85" s="41" t="s">
        <v>227</v>
      </c>
      <c r="G85" s="37" t="s">
        <v>396</v>
      </c>
      <c r="H85" s="37" t="s">
        <v>16</v>
      </c>
      <c r="I85" s="101"/>
      <c r="J85" s="101">
        <v>3</v>
      </c>
      <c r="K85" s="102" t="s">
        <v>188</v>
      </c>
      <c r="L85" s="103">
        <f ca="1">OFFSET(L85,-1,0)+J85-I85</f>
        <v>840582</v>
      </c>
      <c r="M85" s="103">
        <f t="shared" ca="1" si="43"/>
        <v>801904</v>
      </c>
      <c r="N85" s="103">
        <f t="shared" ca="1" si="43"/>
        <v>38678</v>
      </c>
      <c r="O85" s="103">
        <f t="shared" ca="1" si="43"/>
        <v>0</v>
      </c>
      <c r="P85" s="103">
        <f t="shared" ca="1" si="43"/>
        <v>0</v>
      </c>
      <c r="Q85" s="103">
        <f t="shared" ca="1" si="43"/>
        <v>0</v>
      </c>
      <c r="R85" s="103">
        <f t="shared" ca="1" si="43"/>
        <v>0</v>
      </c>
      <c r="S85" s="102" t="b">
        <f t="shared" ref="S85" ca="1" si="72">L85=SUM(M85:R85)</f>
        <v>1</v>
      </c>
      <c r="T85" s="37"/>
    </row>
    <row r="86" spans="1:22" s="100" customFormat="1" ht="21" customHeight="1" x14ac:dyDescent="0.15">
      <c r="A86" s="41">
        <f>ROW()-3</f>
        <v>83</v>
      </c>
      <c r="B86" s="41">
        <v>6</v>
      </c>
      <c r="C86" s="41">
        <v>3</v>
      </c>
      <c r="D86" s="41">
        <v>11</v>
      </c>
      <c r="E86" s="37" t="s">
        <v>639</v>
      </c>
      <c r="F86" s="41" t="s">
        <v>227</v>
      </c>
      <c r="G86" s="37" t="s">
        <v>396</v>
      </c>
      <c r="H86" s="37" t="s">
        <v>16</v>
      </c>
      <c r="I86" s="101"/>
      <c r="J86" s="101">
        <v>3</v>
      </c>
      <c r="K86" s="102" t="s">
        <v>188</v>
      </c>
      <c r="L86" s="103">
        <f ca="1">OFFSET(L86,-1,0)+J86-I86</f>
        <v>840585</v>
      </c>
      <c r="M86" s="103">
        <f t="shared" ca="1" si="43"/>
        <v>801907</v>
      </c>
      <c r="N86" s="103">
        <f t="shared" ca="1" si="43"/>
        <v>38678</v>
      </c>
      <c r="O86" s="103">
        <f t="shared" ca="1" si="43"/>
        <v>0</v>
      </c>
      <c r="P86" s="103">
        <f t="shared" ca="1" si="43"/>
        <v>0</v>
      </c>
      <c r="Q86" s="103">
        <f t="shared" ca="1" si="43"/>
        <v>0</v>
      </c>
      <c r="R86" s="103">
        <f t="shared" ca="1" si="43"/>
        <v>0</v>
      </c>
      <c r="S86" s="102" t="b">
        <f t="shared" ref="S86" ca="1" si="73">L86=SUM(M86:R86)</f>
        <v>1</v>
      </c>
      <c r="T86" s="37"/>
    </row>
    <row r="87" spans="1:22" s="100" customFormat="1" ht="21" customHeight="1" x14ac:dyDescent="0.15">
      <c r="A87" s="41">
        <f t="shared" si="2"/>
        <v>84</v>
      </c>
      <c r="B87" s="41"/>
      <c r="C87" s="41"/>
      <c r="D87" s="41"/>
      <c r="E87" s="105"/>
      <c r="F87" s="102"/>
      <c r="G87" s="37"/>
      <c r="H87" s="106"/>
      <c r="I87" s="103"/>
      <c r="J87" s="101"/>
      <c r="K87" s="102"/>
      <c r="L87" s="103">
        <f t="shared" ref="L87" ca="1" si="74">OFFSET(L87,-1,0)+J87-I87</f>
        <v>840585</v>
      </c>
      <c r="M87" s="103">
        <f t="shared" ca="1" si="43"/>
        <v>801907</v>
      </c>
      <c r="N87" s="103">
        <f t="shared" ca="1" si="43"/>
        <v>38678</v>
      </c>
      <c r="O87" s="103">
        <f t="shared" ca="1" si="43"/>
        <v>0</v>
      </c>
      <c r="P87" s="103">
        <f t="shared" ca="1" si="43"/>
        <v>0</v>
      </c>
      <c r="Q87" s="103">
        <f t="shared" ca="1" si="43"/>
        <v>0</v>
      </c>
      <c r="R87" s="103">
        <f t="shared" ca="1" si="5"/>
        <v>0</v>
      </c>
      <c r="S87" s="102" t="b">
        <f t="shared" ca="1" si="38"/>
        <v>1</v>
      </c>
      <c r="T87" s="88"/>
      <c r="V87" s="104"/>
    </row>
    <row r="88" spans="1:22" s="113" customFormat="1" ht="21" customHeight="1" x14ac:dyDescent="0.15">
      <c r="A88" s="108"/>
      <c r="B88" s="109"/>
      <c r="C88" s="109"/>
      <c r="D88" s="109"/>
      <c r="E88" s="109"/>
      <c r="F88" s="110" t="s">
        <v>207</v>
      </c>
      <c r="G88" s="110"/>
      <c r="H88" s="111"/>
      <c r="I88" s="112">
        <f>SUM(I4:I87)-I20-I26-I82-I74-I77-I80-I73</f>
        <v>936542</v>
      </c>
      <c r="J88" s="112">
        <f>SUM(J4:J87)-J8-J12-J21-J27-J83-J75-J78-J81</f>
        <v>1777127</v>
      </c>
      <c r="K88" s="112">
        <f>J88-I88</f>
        <v>840585</v>
      </c>
      <c r="L88" s="112">
        <f t="shared" ref="L88:R88" ca="1" si="75">L87</f>
        <v>840585</v>
      </c>
      <c r="M88" s="112">
        <f t="shared" ca="1" si="75"/>
        <v>801907</v>
      </c>
      <c r="N88" s="112">
        <f t="shared" ca="1" si="75"/>
        <v>38678</v>
      </c>
      <c r="O88" s="112">
        <f t="shared" ca="1" si="75"/>
        <v>0</v>
      </c>
      <c r="P88" s="112">
        <f t="shared" ca="1" si="75"/>
        <v>0</v>
      </c>
      <c r="Q88" s="112">
        <f t="shared" ca="1" si="75"/>
        <v>0</v>
      </c>
      <c r="R88" s="112">
        <f t="shared" ca="1" si="75"/>
        <v>0</v>
      </c>
      <c r="S88" s="102" t="b">
        <f t="shared" ref="S88" ca="1" si="76">L88=SUM(M88:R88)</f>
        <v>1</v>
      </c>
      <c r="T88" s="88"/>
    </row>
    <row r="89" spans="1:22" s="113" customFormat="1" ht="21" customHeight="1" x14ac:dyDescent="0.15">
      <c r="A89" s="114"/>
      <c r="B89" s="114"/>
      <c r="C89" s="114" t="s">
        <v>208</v>
      </c>
      <c r="D89" s="114"/>
      <c r="E89" s="85"/>
      <c r="F89" s="114"/>
      <c r="G89" s="85"/>
      <c r="H89" s="32" t="s">
        <v>604</v>
      </c>
      <c r="I89" s="112">
        <f>I88</f>
        <v>936542</v>
      </c>
      <c r="J89" s="112">
        <f>J88-SUM(J4:J5)</f>
        <v>920306</v>
      </c>
      <c r="K89" s="112">
        <f>J89-I89</f>
        <v>-16236</v>
      </c>
      <c r="L89" s="115" t="s">
        <v>209</v>
      </c>
      <c r="M89" s="116" t="s">
        <v>209</v>
      </c>
      <c r="N89" s="117" t="s">
        <v>209</v>
      </c>
      <c r="O89" s="117" t="s">
        <v>209</v>
      </c>
      <c r="P89" s="117" t="s">
        <v>209</v>
      </c>
      <c r="Q89" s="117" t="s">
        <v>209</v>
      </c>
      <c r="R89" s="117" t="s">
        <v>209</v>
      </c>
      <c r="S89" s="100"/>
      <c r="T89" s="62"/>
    </row>
    <row r="90" spans="1:22" s="113" customFormat="1" ht="21" customHeight="1" x14ac:dyDescent="0.15">
      <c r="A90" s="114"/>
      <c r="B90" s="114"/>
      <c r="C90" s="114"/>
      <c r="D90" s="118">
        <f>COUNTIF(F4:F87,"－")+COUNTIF(F4:F87,"入")+COUNTIF(F4:F87,"出")</f>
        <v>0</v>
      </c>
      <c r="E90" s="85" t="s">
        <v>343</v>
      </c>
      <c r="F90" s="119" t="s">
        <v>211</v>
      </c>
      <c r="G90" s="85"/>
      <c r="H90" s="120" t="s">
        <v>640</v>
      </c>
      <c r="I90" s="121"/>
      <c r="J90" s="121"/>
      <c r="K90" s="122"/>
      <c r="L90" s="123">
        <f ca="1">L88</f>
        <v>840585</v>
      </c>
      <c r="M90" s="116" t="s">
        <v>209</v>
      </c>
      <c r="N90" s="117" t="s">
        <v>209</v>
      </c>
      <c r="O90" s="117" t="s">
        <v>209</v>
      </c>
      <c r="P90" s="117" t="s">
        <v>209</v>
      </c>
      <c r="Q90" s="117" t="s">
        <v>209</v>
      </c>
      <c r="R90" s="117" t="s">
        <v>209</v>
      </c>
      <c r="S90" s="100"/>
      <c r="T90" s="62"/>
    </row>
    <row r="91" spans="1:22" s="113" customFormat="1" ht="21" customHeight="1" x14ac:dyDescent="0.15">
      <c r="A91" s="114"/>
      <c r="B91" s="114"/>
      <c r="C91" s="114"/>
      <c r="D91" s="124">
        <f>COUNT(J4:J87)-COUNTIFS(F4:F87,"入")</f>
        <v>23</v>
      </c>
      <c r="E91" s="85" t="s">
        <v>212</v>
      </c>
      <c r="F91" s="125" t="s">
        <v>213</v>
      </c>
      <c r="G91" s="85"/>
      <c r="H91" s="126" t="s">
        <v>214</v>
      </c>
      <c r="I91" s="127" t="s">
        <v>197</v>
      </c>
      <c r="J91" s="127"/>
      <c r="K91" s="128"/>
      <c r="L91" s="129">
        <f ca="1">M88</f>
        <v>801907</v>
      </c>
      <c r="M91" s="130" t="s">
        <v>215</v>
      </c>
      <c r="N91" s="117" t="s">
        <v>209</v>
      </c>
      <c r="O91" s="117" t="s">
        <v>209</v>
      </c>
      <c r="P91" s="117" t="s">
        <v>209</v>
      </c>
      <c r="Q91" s="117" t="s">
        <v>209</v>
      </c>
      <c r="R91" s="117" t="s">
        <v>209</v>
      </c>
      <c r="S91" s="100"/>
      <c r="T91" s="62"/>
    </row>
    <row r="92" spans="1:22" s="113" customFormat="1" ht="21" customHeight="1" x14ac:dyDescent="0.15">
      <c r="A92" s="114"/>
      <c r="B92" s="114"/>
      <c r="C92" s="114"/>
      <c r="D92" s="131">
        <f>COUNT(I4:I87)-COUNTIFS(F4:F87,"出")</f>
        <v>60</v>
      </c>
      <c r="E92" s="85" t="s">
        <v>216</v>
      </c>
      <c r="F92" s="114"/>
      <c r="G92" s="85"/>
      <c r="H92" s="132"/>
      <c r="I92" s="133" t="s">
        <v>217</v>
      </c>
      <c r="J92" s="133"/>
      <c r="K92" s="134"/>
      <c r="L92" s="135">
        <f ca="1">SUM(N88:Q88)</f>
        <v>38678</v>
      </c>
      <c r="M92" s="136" t="s">
        <v>218</v>
      </c>
      <c r="N92" s="136" t="s">
        <v>219</v>
      </c>
      <c r="O92" s="136" t="s">
        <v>219</v>
      </c>
      <c r="P92" s="136" t="s">
        <v>219</v>
      </c>
      <c r="Q92" s="136" t="s">
        <v>215</v>
      </c>
      <c r="R92" s="136" t="s">
        <v>215</v>
      </c>
      <c r="S92" s="100"/>
      <c r="T92" s="62"/>
    </row>
    <row r="93" spans="1:22" s="113" customFormat="1" ht="18" customHeight="1" x14ac:dyDescent="0.15">
      <c r="A93" s="114"/>
      <c r="B93" s="114"/>
      <c r="C93" s="114"/>
      <c r="D93" s="137">
        <f>D90+D91+D92</f>
        <v>83</v>
      </c>
      <c r="E93" s="85" t="s">
        <v>220</v>
      </c>
      <c r="F93" s="114"/>
      <c r="G93" s="85"/>
      <c r="I93" s="138"/>
      <c r="J93" s="138"/>
      <c r="K93" s="139"/>
      <c r="L93" s="140"/>
      <c r="M93" s="141" t="s">
        <v>221</v>
      </c>
      <c r="N93" s="103">
        <f>SUMIFS($I4:$I87,$K4:$K87,N2)</f>
        <v>946015</v>
      </c>
      <c r="O93" s="103">
        <f>SUMIFS($I4:$I87,$K4:$K87,O2)</f>
        <v>36785</v>
      </c>
      <c r="P93" s="103">
        <f>SUMIFS($I4:$I87,$K4:$K87,P2)</f>
        <v>180556</v>
      </c>
      <c r="Q93" s="103">
        <f>SUMIFS($I4:$I87,$K4:$K87,Q2)</f>
        <v>344000</v>
      </c>
      <c r="R93" s="103">
        <f>SUMIFS($I4:$I87,$K4:$K87,R2)</f>
        <v>31473</v>
      </c>
      <c r="S93" s="100"/>
      <c r="T93" s="62"/>
    </row>
    <row r="94" spans="1:22" s="113" customFormat="1" ht="18" customHeight="1" x14ac:dyDescent="0.15">
      <c r="A94" s="114"/>
      <c r="B94" s="114"/>
      <c r="C94" s="114"/>
      <c r="D94" s="114"/>
      <c r="E94" s="85"/>
      <c r="F94" s="114"/>
      <c r="G94" s="85"/>
      <c r="I94" s="138"/>
      <c r="J94" s="138"/>
      <c r="K94" s="142"/>
      <c r="L94" s="138"/>
      <c r="M94" s="138"/>
      <c r="N94" s="143" t="s">
        <v>222</v>
      </c>
      <c r="S94" s="100"/>
      <c r="T94" s="62"/>
    </row>
    <row r="95" spans="1:22" s="144" customFormat="1" x14ac:dyDescent="0.15">
      <c r="A95" s="114"/>
      <c r="B95" s="114"/>
      <c r="C95" s="114"/>
      <c r="D95" s="114"/>
      <c r="E95" s="85"/>
      <c r="F95" s="114"/>
      <c r="G95" s="85"/>
      <c r="H95" s="107"/>
      <c r="N95" s="107"/>
      <c r="O95" s="107"/>
      <c r="P95" s="107"/>
      <c r="Q95" s="107"/>
      <c r="R95" s="107"/>
      <c r="S95" s="86"/>
      <c r="T95" s="145"/>
    </row>
    <row r="96" spans="1:22" x14ac:dyDescent="0.15">
      <c r="E96" s="85" t="s">
        <v>223</v>
      </c>
      <c r="G96" s="139"/>
    </row>
    <row r="97" spans="5:16" x14ac:dyDescent="0.15">
      <c r="E97" s="147" t="s">
        <v>394</v>
      </c>
      <c r="F97" s="102" t="s">
        <v>202</v>
      </c>
      <c r="G97" s="103">
        <f t="shared" ref="G97:G102" si="77">SUMIFS($J$4:$J$87,$F$4:$F$87,F97)</f>
        <v>856821</v>
      </c>
    </row>
    <row r="98" spans="5:16" x14ac:dyDescent="0.15">
      <c r="E98" s="147" t="s">
        <v>395</v>
      </c>
      <c r="F98" s="102" t="s">
        <v>224</v>
      </c>
      <c r="G98" s="103">
        <f t="shared" si="77"/>
        <v>540500</v>
      </c>
    </row>
    <row r="99" spans="5:16" x14ac:dyDescent="0.15">
      <c r="E99" s="147" t="s">
        <v>41</v>
      </c>
      <c r="F99" s="102" t="s">
        <v>225</v>
      </c>
      <c r="G99" s="103">
        <f t="shared" si="77"/>
        <v>158000</v>
      </c>
      <c r="I99" s="144" t="s">
        <v>399</v>
      </c>
      <c r="J99" s="144">
        <f>10000*6+5000*18+3000*2+2000*1</f>
        <v>158000</v>
      </c>
    </row>
    <row r="100" spans="5:16" x14ac:dyDescent="0.15">
      <c r="E100" s="147" t="s">
        <v>48</v>
      </c>
      <c r="F100" s="102" t="s">
        <v>226</v>
      </c>
      <c r="G100" s="103">
        <f t="shared" si="77"/>
        <v>209000</v>
      </c>
      <c r="I100" s="144" t="s">
        <v>603</v>
      </c>
      <c r="J100" s="144">
        <f>10000*5+5000*28+3000*5+2000*2</f>
        <v>209000</v>
      </c>
    </row>
    <row r="101" spans="5:16" x14ac:dyDescent="0.15">
      <c r="E101" s="147" t="s">
        <v>396</v>
      </c>
      <c r="F101" s="102" t="s">
        <v>227</v>
      </c>
      <c r="G101" s="103">
        <f t="shared" si="77"/>
        <v>12806</v>
      </c>
      <c r="K101" s="144"/>
      <c r="N101" s="144"/>
    </row>
    <row r="102" spans="5:16" x14ac:dyDescent="0.15">
      <c r="E102" s="147" t="s">
        <v>397</v>
      </c>
      <c r="F102" s="102" t="s">
        <v>196</v>
      </c>
      <c r="G102" s="103">
        <f t="shared" si="77"/>
        <v>0</v>
      </c>
      <c r="K102" s="144"/>
      <c r="N102" s="144"/>
    </row>
    <row r="103" spans="5:16" x14ac:dyDescent="0.15">
      <c r="F103" s="139" t="s">
        <v>228</v>
      </c>
      <c r="G103" s="148">
        <f>SUM(G97:G102)</f>
        <v>1777127</v>
      </c>
      <c r="K103" s="144"/>
      <c r="N103" s="144"/>
    </row>
    <row r="104" spans="5:16" x14ac:dyDescent="0.15">
      <c r="F104" s="139" t="s">
        <v>230</v>
      </c>
      <c r="G104" s="148">
        <f>G103-G97</f>
        <v>920306</v>
      </c>
    </row>
    <row r="105" spans="5:16" ht="11.25" customHeight="1" x14ac:dyDescent="0.15"/>
    <row r="106" spans="5:16" x14ac:dyDescent="0.15">
      <c r="E106" s="85" t="s">
        <v>231</v>
      </c>
      <c r="F106" s="113"/>
      <c r="G106" s="139"/>
      <c r="H106" s="113"/>
    </row>
    <row r="107" spans="5:16" x14ac:dyDescent="0.15">
      <c r="E107" s="149" t="s">
        <v>410</v>
      </c>
      <c r="F107" s="150">
        <v>1</v>
      </c>
      <c r="G107" s="103">
        <f>SUMIFS($I$4:$I$87,$F$4:$F$87,F107)</f>
        <v>442016</v>
      </c>
      <c r="H107" s="113"/>
    </row>
    <row r="108" spans="5:16" x14ac:dyDescent="0.15">
      <c r="E108" s="217" t="s">
        <v>412</v>
      </c>
      <c r="F108" s="161"/>
      <c r="G108" s="218"/>
      <c r="H108" s="152">
        <f>'R5年度祭礼実績（集計中）'!L53</f>
        <v>332527</v>
      </c>
    </row>
    <row r="109" spans="5:16" x14ac:dyDescent="0.15">
      <c r="E109" s="217" t="s">
        <v>413</v>
      </c>
      <c r="F109" s="161"/>
      <c r="G109" s="218"/>
      <c r="H109" s="152">
        <f>祭礼会計出納簿!M98</f>
        <v>109489</v>
      </c>
    </row>
    <row r="110" spans="5:16" x14ac:dyDescent="0.15">
      <c r="E110" s="151" t="s">
        <v>414</v>
      </c>
      <c r="F110" s="102">
        <v>2</v>
      </c>
      <c r="G110" s="103">
        <f t="shared" ref="G110:G122" si="78">SUMIFS($I$4:$I$87,$F$4:$F$87,F110)</f>
        <v>8988</v>
      </c>
      <c r="H110" s="258"/>
    </row>
    <row r="111" spans="5:16" x14ac:dyDescent="0.15">
      <c r="E111" s="88" t="s">
        <v>415</v>
      </c>
      <c r="F111" s="102">
        <v>3</v>
      </c>
      <c r="G111" s="103">
        <f t="shared" si="78"/>
        <v>25000</v>
      </c>
      <c r="H111" s="113"/>
      <c r="K111" s="144"/>
      <c r="N111" s="144"/>
      <c r="O111" s="144"/>
      <c r="P111" s="144"/>
    </row>
    <row r="112" spans="5:16" x14ac:dyDescent="0.15">
      <c r="E112" s="153" t="s">
        <v>132</v>
      </c>
      <c r="F112" s="102">
        <v>4</v>
      </c>
      <c r="G112" s="103">
        <f t="shared" si="78"/>
        <v>5500</v>
      </c>
      <c r="H112" s="152"/>
      <c r="K112" s="144"/>
      <c r="N112" s="144"/>
      <c r="O112" s="144"/>
      <c r="P112" s="144"/>
    </row>
    <row r="113" spans="1:16" x14ac:dyDescent="0.15">
      <c r="E113" s="153" t="s">
        <v>550</v>
      </c>
      <c r="F113" s="102">
        <v>5</v>
      </c>
      <c r="G113" s="103">
        <f t="shared" si="78"/>
        <v>22302</v>
      </c>
      <c r="H113" s="152"/>
      <c r="K113" s="144"/>
      <c r="N113" s="144"/>
      <c r="O113" s="144"/>
      <c r="P113" s="144"/>
    </row>
    <row r="114" spans="1:16" x14ac:dyDescent="0.15">
      <c r="E114" s="153" t="s">
        <v>551</v>
      </c>
      <c r="F114" s="102">
        <v>6</v>
      </c>
      <c r="G114" s="103">
        <f t="shared" si="78"/>
        <v>111735</v>
      </c>
      <c r="H114" s="152"/>
      <c r="K114" s="144"/>
      <c r="N114" s="144"/>
      <c r="O114" s="144"/>
      <c r="P114" s="144"/>
    </row>
    <row r="115" spans="1:16" x14ac:dyDescent="0.15">
      <c r="E115" s="153" t="s">
        <v>552</v>
      </c>
      <c r="F115" s="102">
        <v>7</v>
      </c>
      <c r="G115" s="103">
        <f t="shared" si="78"/>
        <v>57449</v>
      </c>
      <c r="H115" s="152"/>
      <c r="K115" s="144"/>
      <c r="N115" s="144"/>
      <c r="O115" s="144"/>
      <c r="P115" s="144"/>
    </row>
    <row r="116" spans="1:16" x14ac:dyDescent="0.15">
      <c r="E116" s="153" t="s">
        <v>553</v>
      </c>
      <c r="F116" s="102">
        <v>8</v>
      </c>
      <c r="G116" s="103">
        <f t="shared" si="78"/>
        <v>0</v>
      </c>
      <c r="H116" s="152"/>
      <c r="K116" s="144"/>
      <c r="N116" s="144"/>
      <c r="O116" s="144"/>
      <c r="P116" s="144"/>
    </row>
    <row r="117" spans="1:16" x14ac:dyDescent="0.15">
      <c r="E117" s="229" t="s">
        <v>554</v>
      </c>
      <c r="F117" s="102">
        <v>9</v>
      </c>
      <c r="G117" s="103">
        <f t="shared" si="78"/>
        <v>0</v>
      </c>
      <c r="H117" s="152"/>
      <c r="K117" s="144"/>
      <c r="N117" s="144"/>
      <c r="O117" s="144"/>
      <c r="P117" s="144"/>
    </row>
    <row r="118" spans="1:16" x14ac:dyDescent="0.15">
      <c r="E118" s="229" t="s">
        <v>555</v>
      </c>
      <c r="F118" s="102">
        <v>10</v>
      </c>
      <c r="G118" s="103">
        <f t="shared" si="78"/>
        <v>47523</v>
      </c>
      <c r="H118" s="152"/>
      <c r="K118" s="144"/>
      <c r="N118" s="144"/>
      <c r="O118" s="144"/>
      <c r="P118" s="144"/>
    </row>
    <row r="119" spans="1:16" x14ac:dyDescent="0.15">
      <c r="E119" s="230" t="s">
        <v>233</v>
      </c>
      <c r="F119" s="102">
        <v>11</v>
      </c>
      <c r="G119" s="103">
        <f t="shared" si="78"/>
        <v>38556</v>
      </c>
      <c r="H119" s="152"/>
      <c r="K119" s="144"/>
      <c r="N119" s="144"/>
      <c r="O119" s="144"/>
      <c r="P119" s="144"/>
    </row>
    <row r="120" spans="1:16" x14ac:dyDescent="0.15">
      <c r="E120" s="231" t="s">
        <v>556</v>
      </c>
      <c r="F120" s="102">
        <v>12</v>
      </c>
      <c r="G120" s="103">
        <f t="shared" si="78"/>
        <v>146000</v>
      </c>
      <c r="H120" s="152"/>
      <c r="K120" s="144"/>
      <c r="N120" s="144"/>
      <c r="O120" s="144"/>
      <c r="P120" s="144"/>
    </row>
    <row r="121" spans="1:16" x14ac:dyDescent="0.15">
      <c r="E121" s="231" t="s">
        <v>557</v>
      </c>
      <c r="F121" s="102">
        <v>13</v>
      </c>
      <c r="G121" s="103">
        <f t="shared" si="78"/>
        <v>31473</v>
      </c>
      <c r="H121" s="152"/>
      <c r="K121" s="144"/>
      <c r="N121" s="144"/>
      <c r="O121" s="144"/>
      <c r="P121" s="144"/>
    </row>
    <row r="122" spans="1:16" x14ac:dyDescent="0.15">
      <c r="E122" s="231" t="s">
        <v>558</v>
      </c>
      <c r="F122" s="102">
        <v>14</v>
      </c>
      <c r="G122" s="103">
        <f t="shared" si="78"/>
        <v>0</v>
      </c>
      <c r="H122" s="152"/>
      <c r="K122" s="144"/>
      <c r="N122" s="144"/>
      <c r="O122" s="144"/>
      <c r="P122" s="144"/>
    </row>
    <row r="123" spans="1:16" x14ac:dyDescent="0.15">
      <c r="E123"/>
      <c r="F123" s="139" t="s">
        <v>559</v>
      </c>
      <c r="G123" s="148">
        <f>SUM(G107:G122)</f>
        <v>936542</v>
      </c>
      <c r="H123" s="113"/>
      <c r="I123" s="100"/>
      <c r="J123" s="100"/>
      <c r="K123" s="100"/>
      <c r="L123" s="100"/>
    </row>
    <row r="124" spans="1:16" x14ac:dyDescent="0.15">
      <c r="E124" s="253"/>
      <c r="F124" s="140" t="s">
        <v>584</v>
      </c>
      <c r="G124" s="140">
        <f>G125-G123</f>
        <v>840585</v>
      </c>
      <c r="H124" s="254">
        <f>G124-G97</f>
        <v>-16236</v>
      </c>
      <c r="I124" s="31" t="s">
        <v>617</v>
      </c>
      <c r="J124" s="100"/>
      <c r="K124" s="100"/>
      <c r="L124" s="100"/>
    </row>
    <row r="125" spans="1:16" x14ac:dyDescent="0.15">
      <c r="E125"/>
      <c r="F125" s="139" t="s">
        <v>234</v>
      </c>
      <c r="G125" s="148">
        <f>G103</f>
        <v>1777127</v>
      </c>
      <c r="H125" s="113" t="s">
        <v>235</v>
      </c>
      <c r="I125" s="100"/>
      <c r="J125" s="100"/>
      <c r="K125" s="100"/>
      <c r="L125" s="100"/>
    </row>
    <row r="126" spans="1:16" x14ac:dyDescent="0.15">
      <c r="E126"/>
      <c r="F126" s="139"/>
      <c r="G126" s="148"/>
      <c r="H126"/>
      <c r="I126" s="146"/>
      <c r="J126" s="146"/>
    </row>
    <row r="127" spans="1:16" x14ac:dyDescent="0.15">
      <c r="E127"/>
      <c r="F127" s="139"/>
      <c r="G127" s="148"/>
      <c r="H127"/>
      <c r="I127" s="146"/>
      <c r="J127" s="146"/>
    </row>
    <row r="128" spans="1:16" x14ac:dyDescent="0.15">
      <c r="A128" s="139">
        <f>COUNT(#REF!)</f>
        <v>0</v>
      </c>
      <c r="B128" s="114" t="s">
        <v>210</v>
      </c>
      <c r="H128" s="154" t="s">
        <v>229</v>
      </c>
      <c r="I128" s="155" t="e">
        <f>SUM(#REF!)</f>
        <v>#REF!</v>
      </c>
    </row>
  </sheetData>
  <autoFilter ref="F1:F128" xr:uid="{94649287-77DA-4C2A-8338-34E7D0F02C9A}"/>
  <phoneticPr fontId="2"/>
  <conditionalFormatting sqref="H128:I128">
    <cfRule type="containsText" dxfId="5" priority="95" operator="containsText" text="FALSE">
      <formula>NOT(ISERROR(SEARCH("FALSE",H128)))</formula>
    </cfRule>
  </conditionalFormatting>
  <conditionalFormatting sqref="I87">
    <cfRule type="expression" dxfId="4" priority="1">
      <formula>I87&lt;OFFSET(I87, -1, 0)</formula>
    </cfRule>
    <cfRule type="expression" dxfId="3" priority="2">
      <formula>I87&gt;OFFSET(I87, -1, 0)</formula>
    </cfRule>
  </conditionalFormatting>
  <conditionalFormatting sqref="L4:R87">
    <cfRule type="expression" dxfId="2" priority="1010">
      <formula>L4&lt;OFFSET(L4, -1, 0)</formula>
    </cfRule>
    <cfRule type="expression" dxfId="1" priority="1011">
      <formula>L4&gt;OFFSET(L4, -1, 0)</formula>
    </cfRule>
  </conditionalFormatting>
  <conditionalFormatting sqref="S1:S92 S94:S1048576 I123:L123 J124:L124 I125:L125">
    <cfRule type="containsText" dxfId="0" priority="1122" operator="containsText" text="FALSE">
      <formula>NOT(ISERROR(SEARCH("FALSE",I1)))</formula>
    </cfRule>
  </conditionalFormatting>
  <pageMargins left="1.1811023622047245" right="0.19685039370078741" top="0.98425196850393704" bottom="0.59055118110236227" header="0.31496062992125984" footer="0.31496062992125984"/>
  <pageSetup paperSize="8" scale="89" fitToHeight="0" orientation="landscape" copies="7" r:id="rId1"/>
  <headerFooter>
    <oddHeader>&amp;L&amp;A&amp;C&amp;"ＭＳ Ｐゴシック,標準"&amp;14&amp;K000000令和５年度　駒寄町内会　祭礼会計　現金+預金　※日付順&amp;R&amp;"ＭＳ Ｐゴシック,標準"&amp;K000000&amp;D &amp;T</oddHeader>
    <oddFooter>&amp;L&amp;"ＭＳ Ｐゴシック,標準"&amp;K000000&amp;Z&amp;F&amp;R&amp;"ＭＳ Ｐゴシック,標準"&amp;K000000&amp;P／&amp;N</oddFooter>
    <evenFooter>&amp;C&amp;P</evenFooter>
  </headerFooter>
  <legacy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14</vt:i4>
      </vt:variant>
      <vt:variant>
        <vt:lpstr>名前付き一覧</vt:lpstr>
      </vt:variant>
      <vt:variant>
        <vt:i4>12</vt:i4>
      </vt:variant>
    </vt:vector>
  </HeadingPairs>
  <TitlesOfParts>
    <vt:vector size="26" baseType="lpstr">
      <vt:lpstr>コードについて</vt:lpstr>
      <vt:lpstr>祭礼会計コード</vt:lpstr>
      <vt:lpstr>★日付順2025.2.11</vt:lpstr>
      <vt:lpstr>（R6BBZ）</vt:lpstr>
      <vt:lpstr>R6ばばーず精算</vt:lpstr>
      <vt:lpstr>R6少年部</vt:lpstr>
      <vt:lpstr>R６祭礼会計　中間報告</vt:lpstr>
      <vt:lpstr>R5祭礼会計　中間報告</vt:lpstr>
      <vt:lpstr>令和５年度日付順</vt:lpstr>
      <vt:lpstr>R5通帳記帳3.29</vt:lpstr>
      <vt:lpstr>R5年度祭礼実績（集計中）</vt:lpstr>
      <vt:lpstr>祭礼会計出納簿</vt:lpstr>
      <vt:lpstr>【R1】祭礼会計出納簿コード順</vt:lpstr>
      <vt:lpstr>（省略）祭礼会計出納簿コード順</vt:lpstr>
      <vt:lpstr>'（R6BBZ）'!Print_Area</vt:lpstr>
      <vt:lpstr>★日付順2025.2.11!Print_Area</vt:lpstr>
      <vt:lpstr>'R5祭礼会計　中間報告'!Print_Area</vt:lpstr>
      <vt:lpstr>'R6ばばーず精算'!Print_Area</vt:lpstr>
      <vt:lpstr>'R６祭礼会計　中間報告'!Print_Area</vt:lpstr>
      <vt:lpstr>祭礼会計出納簿!Print_Area</vt:lpstr>
      <vt:lpstr>令和５年度日付順!Print_Area</vt:lpstr>
      <vt:lpstr>'（省略）祭礼会計出納簿コード順'!Print_Titles</vt:lpstr>
      <vt:lpstr>【R1】祭礼会計出納簿コード順!Print_Titles</vt:lpstr>
      <vt:lpstr>★日付順2025.2.11!Print_Titles</vt:lpstr>
      <vt:lpstr>祭礼会計出納簿!Print_Titles</vt:lpstr>
      <vt:lpstr>令和５年度日付順!Print_Titles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kazuhisa</dc:creator>
  <cp:lastModifiedBy>岳 橋本</cp:lastModifiedBy>
  <cp:lastPrinted>2024-09-08T20:27:40Z</cp:lastPrinted>
  <dcterms:created xsi:type="dcterms:W3CDTF">2010-04-25T06:47:50Z</dcterms:created>
  <dcterms:modified xsi:type="dcterms:W3CDTF">2025-02-25T15:36:29Z</dcterms:modified>
</cp:coreProperties>
</file>